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D:\Workspaces\workspace-python\cadth-pcpa-py-scraper\"/>
    </mc:Choice>
  </mc:AlternateContent>
  <xr:revisionPtr revIDLastSave="0" documentId="13_ncr:1_{33C4E1CB-CE57-48EE-85A5-30113E90A727}" xr6:coauthVersionLast="47" xr6:coauthVersionMax="47" xr10:uidLastSave="{00000000-0000-0000-0000-000000000000}"/>
  <bookViews>
    <workbookView xWindow="1152" yWindow="1152" windowWidth="17280" windowHeight="8964" xr2:uid="{00000000-000D-0000-FFFF-FFFF00000000}"/>
  </bookViews>
  <sheets>
    <sheet name="CADTH" sheetId="1" r:id="rId1"/>
    <sheet name="pCPA"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604" i="2" l="1"/>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<sst xmlns="http://schemas.openxmlformats.org/spreadsheetml/2006/main" count="12157" uniqueCount="3981">
  <si>
    <t xml:space="preserve">Brand Name
    Sort descending
</t>
  </si>
  <si>
    <t>Generic Name</t>
  </si>
  <si>
    <t>Therapeutic Area</t>
  </si>
  <si>
    <t>Recommendation Type</t>
  </si>
  <si>
    <t>Project Status</t>
  </si>
  <si>
    <t>Date Submission Received</t>
  </si>
  <si>
    <t>Date Recommendation Issued</t>
  </si>
  <si>
    <t>Project Number</t>
  </si>
  <si>
    <t>Project Line</t>
  </si>
  <si>
    <t>Strength</t>
  </si>
  <si>
    <t>Tumour Type</t>
  </si>
  <si>
    <t>Funding Request</t>
  </si>
  <si>
    <t>Pre Noc Submission</t>
  </si>
  <si>
    <t>NOC Date</t>
  </si>
  <si>
    <t>Manufacturer</t>
  </si>
  <si>
    <t>Sponsor</t>
  </si>
  <si>
    <t>Submission Date (Target Date)</t>
  </si>
  <si>
    <t>Final CDR review report(s) posted</t>
  </si>
  <si>
    <t>Submission Deemed Complete</t>
  </si>
  <si>
    <t>Submission Type</t>
  </si>
  <si>
    <t>Prioritization Requested</t>
  </si>
  <si>
    <t>Stakeholder Input Deadline</t>
  </si>
  <si>
    <t>Check-point meeting</t>
  </si>
  <si>
    <t>pERC Meeting</t>
  </si>
  <si>
    <t>Initial Recommendation Issued</t>
  </si>
  <si>
    <t>Feedback Deadline</t>
  </si>
  <si>
    <t>pERC Reconsideration Meeting</t>
  </si>
  <si>
    <t>Notification to Implement Issued</t>
  </si>
  <si>
    <t>Clarification</t>
  </si>
  <si>
    <t>idecabtagene vicleucel</t>
  </si>
  <si>
    <t>Multiple myeloma</t>
  </si>
  <si>
    <t>Active</t>
  </si>
  <si>
    <t>PG0240-000</t>
  </si>
  <si>
    <t>Reimbursement Review</t>
  </si>
  <si>
    <t>Myeloma</t>
  </si>
  <si>
    <t>Celgene Inc., a Bristol Myers Squibb company</t>
  </si>
  <si>
    <t>Initial</t>
  </si>
  <si>
    <t>Aripiprazole</t>
  </si>
  <si>
    <t>Schizophrenia</t>
  </si>
  <si>
    <t>Do not list</t>
  </si>
  <si>
    <t>Complete</t>
  </si>
  <si>
    <t>SR0183-000</t>
  </si>
  <si>
    <t>Bristol-Myers Squibb Canada</t>
  </si>
  <si>
    <t>Depression, Major Depressive Disorder</t>
  </si>
  <si>
    <t>SR0354-000</t>
  </si>
  <si>
    <t>Schizophrenia and related psychotic disorders</t>
  </si>
  <si>
    <t>List with clinical criteria and/or conditions</t>
  </si>
  <si>
    <t>SF0226-000</t>
  </si>
  <si>
    <t>Bristol-Myers Squibb</t>
  </si>
  <si>
    <t>Request For Advice</t>
  </si>
  <si>
    <t>List with criteria/condition</t>
  </si>
  <si>
    <t>SR0366-000</t>
  </si>
  <si>
    <t>Otsuka Canada Pharmaceutical Inc. &amp; Lundbeck Canada Inc.</t>
  </si>
  <si>
    <t>Nab-paclitaxel</t>
  </si>
  <si>
    <t>Metastatic Pancreatic Cancer</t>
  </si>
  <si>
    <t>Reimburse with clinical criteria and/or conditions</t>
  </si>
  <si>
    <t>PC0037-000</t>
  </si>
  <si>
    <t>100 mg/vial</t>
  </si>
  <si>
    <t>Gastrointestinal</t>
  </si>
  <si>
    <t>For the first line treatment of patients with metastatic adenocarcinoma of the pancreas, in combination with gemcitabine.</t>
  </si>
  <si>
    <t>Yes</t>
  </si>
  <si>
    <t>Celgene Inc.</t>
  </si>
  <si>
    <t>Not Requested</t>
  </si>
  <si>
    <t>A delay in the receipt of marketing authorization (NOC) from Health Canada has impacted the review timeline.</t>
  </si>
  <si>
    <t>Fentanyl citrate</t>
  </si>
  <si>
    <t>Pain, breakthrough cancer pain</t>
  </si>
  <si>
    <t>SR0240-000</t>
  </si>
  <si>
    <t>Paladin Labs Inc.</t>
  </si>
  <si>
    <t>Zoledronic acid</t>
  </si>
  <si>
    <t>Osteoporosis, postmenopausal women</t>
  </si>
  <si>
    <t>SR0114-000</t>
  </si>
  <si>
    <t>Novartis Pharmaceuticals Canada Inc.</t>
  </si>
  <si>
    <t>Osteoporosis</t>
  </si>
  <si>
    <t>SF0242-000</t>
  </si>
  <si>
    <t>Tocilizumab</t>
  </si>
  <si>
    <t>Arthritis, juvenile idiopathic</t>
  </si>
  <si>
    <t>SR0267-000</t>
  </si>
  <si>
    <t>Hoffman-La Roche Ltd.</t>
  </si>
  <si>
    <t>Arthritis, rheumatoid</t>
  </si>
  <si>
    <t>SR0374-000</t>
  </si>
  <si>
    <t>Hoffmann-La Roche Limited</t>
  </si>
  <si>
    <t>tocilizumab</t>
  </si>
  <si>
    <t>Giant cell arteritis (GCA)</t>
  </si>
  <si>
    <t>SR0534-000</t>
  </si>
  <si>
    <t>Arthritis, Rheumatoid</t>
  </si>
  <si>
    <t>SR0201-000</t>
  </si>
  <si>
    <t>Arthritis, polyarticular juvenile idiopathic</t>
  </si>
  <si>
    <t>SR0343-000</t>
  </si>
  <si>
    <t>Fluorouracil and Salicylic Acid</t>
  </si>
  <si>
    <t>Hyperkeratotic actinic keratosis</t>
  </si>
  <si>
    <t>SR0498-000</t>
  </si>
  <si>
    <t>Cipher Pharmaceuticals Inc.</t>
  </si>
  <si>
    <t>Brentuximab Vedotin</t>
  </si>
  <si>
    <t>HL at high risk of relapse or progression post-ASCT</t>
  </si>
  <si>
    <t>PC0116-000</t>
  </si>
  <si>
    <t>50 mg</t>
  </si>
  <si>
    <t>Lymphoma</t>
  </si>
  <si>
    <t>Funding for ADCETRIS is requested for post-ASCT consolidation treatment of patients with HL at increased risk* of relapse or progression. *The definition of high risk of post-ASCT relapse or progression based on the AETHERA trial are: refractory to frontline therapy, relapsed &lt;12 months following frontline therapy, or relapsed &gt;12 months with extranodal involvement.</t>
  </si>
  <si>
    <t>Seattle Genetics, Inc.</t>
  </si>
  <si>
    <t>Requested and Granted</t>
  </si>
  <si>
    <t>Brentuximab vedotin</t>
  </si>
  <si>
    <t>Hodgkin Lymphoma</t>
  </si>
  <si>
    <t>PC0020-000</t>
  </si>
  <si>
    <t>50 mg/vial</t>
  </si>
  <si>
    <t>For HL patients after failure of ASCT or after failure of at least two prior therapies in patients who are not ASCT candidates</t>
  </si>
  <si>
    <t>Hodgkin lymphoma (HL) in combination with doxorubicin, vinblastine, and dacarbazine (AVD)</t>
  </si>
  <si>
    <t>PC0214-000</t>
  </si>
  <si>
    <t>For the treatment of previously untreated patients with Stage IV Hodgkin lymphoma (HL) in combination with doxorubicin, vinblastine, and dacarbazine (AVD).</t>
  </si>
  <si>
    <t>peripheral T-cell lymphoma (PTCL)</t>
  </si>
  <si>
    <t>Reimburse</t>
  </si>
  <si>
    <t>PC0199-000</t>
  </si>
  <si>
    <t>50 mg / vial</t>
  </si>
  <si>
    <t>For the treatment of previously untreated adult patients with systemic anaplastic large cell lymphoma (sALCL), peripheral T-cell lymphoma-not otherwise specified (PTCL-NOS) or angioimmunoblastic T-cell lymphoma (AITL), whose tumours express CD30, in combination with cyclophosphamide, doxorubicin, and prednisone (CHP).</t>
  </si>
  <si>
    <t>Withdrawn</t>
  </si>
  <si>
    <t>PC0086-000</t>
  </si>
  <si>
    <t>For post-ASCT consolidation treatment of patients with Hodgkin Lymphoma (HL) at high risk of relapse or progression</t>
  </si>
  <si>
    <t>Seattle Genetics Inc.</t>
  </si>
  <si>
    <t>Seattle Genetics Inc. has requested a voluntary withdrawal of the submission for brentuximab vedotin (Adcetris) for Hodgkin Lymphoma (post-ASCT consolidation) as the Category 2 submission requirements for a pre-NOC submission cannot be met at this time.  As per pCODR Procedures B3.1.6.2 b), the pCODR program has stopped the review. The pCODR Provincial Advisory Group has agreed with the manufacturer's request.</t>
  </si>
  <si>
    <t>Primary cutaneous anaplastic large cell Lymphoma (pcALCL) or CD30-expressing mycosis fungoides (MF)</t>
  </si>
  <si>
    <t>PC0213-000</t>
  </si>
  <si>
    <t>For the treatment of adult patients with pcALCL or CD30-expressing MF who have had prior systemic therapy.</t>
  </si>
  <si>
    <t>Systemic Anaplastic Large Cell Lymphoma</t>
  </si>
  <si>
    <t>PC0021-000</t>
  </si>
  <si>
    <t>50mg/vial</t>
  </si>
  <si>
    <t>For second-line treatment of sALCL patients - i.e. after failure of at least one prior multi-agent chemotherapy regimen</t>
  </si>
  <si>
    <t>Time required for the submitter to provide additional economic information has impacted the review timeline.</t>
  </si>
  <si>
    <t>Hodgkin lymphoma (HL)</t>
  </si>
  <si>
    <t>Do not reimburse</t>
  </si>
  <si>
    <t>PC0145-000</t>
  </si>
  <si>
    <t>For the treatment of patients with HL after failure of at least two multi-agent chemotherapy regimens in patients who are not ASCT candidates</t>
  </si>
  <si>
    <t>Tadalafil</t>
  </si>
  <si>
    <t>Pulmonary arterial hypertension</t>
  </si>
  <si>
    <t>SR0197-000</t>
  </si>
  <si>
    <t>Eli Lilly Canada Inc.</t>
  </si>
  <si>
    <t>Mixed amphetamine salts</t>
  </si>
  <si>
    <t>Attention deficit hyperactivity disorder</t>
  </si>
  <si>
    <t>SR0010-000</t>
  </si>
  <si>
    <t>Shire BioChem Inc.</t>
  </si>
  <si>
    <t>Attention deficit hyperactivity disorder, Adult</t>
  </si>
  <si>
    <t>SR0116-000</t>
  </si>
  <si>
    <t>Shire Canada Inc.</t>
  </si>
  <si>
    <t>SR0027-000</t>
  </si>
  <si>
    <t>Resubmission</t>
  </si>
  <si>
    <t>Riociguat</t>
  </si>
  <si>
    <t>Pulmonary arterial hypertension (WHO group 1)</t>
  </si>
  <si>
    <t>SR0438-000</t>
  </si>
  <si>
    <t>Bayer Inc.</t>
  </si>
  <si>
    <t>Chronic thromboembolic pulmonary hypertension</t>
  </si>
  <si>
    <t>SR0353-000</t>
  </si>
  <si>
    <t>lixisenatide</t>
  </si>
  <si>
    <t>Diabetes mellitus, Type 2</t>
  </si>
  <si>
    <t>SR0520-000</t>
  </si>
  <si>
    <t>Sanofi-aventis Canada Inc.</t>
  </si>
  <si>
    <t>Insulin lispro</t>
  </si>
  <si>
    <t>Cancelled</t>
  </si>
  <si>
    <t>SE0543-000</t>
  </si>
  <si>
    <t>sanofi-aventis Canada Inc.</t>
  </si>
  <si>
    <t>New</t>
  </si>
  <si>
    <t>Niacin/lovastatin</t>
  </si>
  <si>
    <t>Hypercholesterolemia and mixed dyslipidemia</t>
  </si>
  <si>
    <t>List</t>
  </si>
  <si>
    <t>SR0042-000</t>
  </si>
  <si>
    <t>Oryx Pharmaceuticals Inc.</t>
  </si>
  <si>
    <t>fluticasone propionate</t>
  </si>
  <si>
    <t>Asthma</t>
  </si>
  <si>
    <t>SR0539-000</t>
  </si>
  <si>
    <t>TEVA Canada Innovation</t>
  </si>
  <si>
    <t>Everolimus</t>
  </si>
  <si>
    <t>Pancreatic Neuroendocrine Tumour</t>
  </si>
  <si>
    <t>PC0007-000</t>
  </si>
  <si>
    <t>2.5 mg, 5 mg and 10 mg</t>
  </si>
  <si>
    <t>Patients with well- or moderately differentiated neuroendocrine tumours of pancreatic origin (pNET) in patients with unresectable, locally advanced or metastatic disease.</t>
  </si>
  <si>
    <t>Subependymal giant cell astrocytoma associated with tuberous sclerosis complex</t>
  </si>
  <si>
    <t>SR0376-000</t>
  </si>
  <si>
    <t>Advanced Breast Cancer</t>
  </si>
  <si>
    <t>PC0014-000</t>
  </si>
  <si>
    <t>2.5 mg, 5mg and 10 mg</t>
  </si>
  <si>
    <t>Breast</t>
  </si>
  <si>
    <t>For treatment of post menopausal women with hormone receptor-positive advanced breast cancer in combination with exemestane, after progression or recurrence (failure) on NSAI therapy.</t>
  </si>
  <si>
    <t>Renal angiomyolipoma associated with tuberous sclerosis complex (TSC)</t>
  </si>
  <si>
    <t>SR0315-000</t>
  </si>
  <si>
    <t>Neuroendocrine tumors (NET) of Gastrointestinal or Lung origin</t>
  </si>
  <si>
    <t>PC0083-000</t>
  </si>
  <si>
    <t>2.5 mg, 5mg, 7.5mg and 10 mg tablets</t>
  </si>
  <si>
    <t>Endocrine</t>
  </si>
  <si>
    <t>For the treatment of unresectable, locally advanced or metastatic, well differentiated non-functional neuroendocrine tumours (NET) of gastrointestinal or lung origin in adults with progressive disease</t>
  </si>
  <si>
    <t>erenumab</t>
  </si>
  <si>
    <t>Migraine</t>
  </si>
  <si>
    <t>SR0578-000</t>
  </si>
  <si>
    <t>fremanezumab</t>
  </si>
  <si>
    <t>migraine</t>
  </si>
  <si>
    <t>SR0641-000</t>
  </si>
  <si>
    <t>Teva Canada Innovation</t>
  </si>
  <si>
    <t>netupitant / palonosetron</t>
  </si>
  <si>
    <t>Nausea and vomiting (chemotherapy induced) prevention</t>
  </si>
  <si>
    <t>SR0548-000</t>
  </si>
  <si>
    <t>Purdue Pharma</t>
  </si>
  <si>
    <t>Laronidase</t>
  </si>
  <si>
    <t>Mucopolysarccharidosis 1 (MPS 1), Hurler, Hurler-Scheie, Scheie</t>
  </si>
  <si>
    <t>SR0032-000</t>
  </si>
  <si>
    <t>Genzyme Canada</t>
  </si>
  <si>
    <t>Alectinib</t>
  </si>
  <si>
    <t>Locally advanced or metastatic ALK+ NSCLC (first line)</t>
  </si>
  <si>
    <t>PC0125-000</t>
  </si>
  <si>
    <t>150 mg</t>
  </si>
  <si>
    <t>Lung</t>
  </si>
  <si>
    <t>For the treatment of patients with anaplastic lymphoma kinase (ALK)-positive, locally advanced or metastatic non-small cell lung cancer</t>
  </si>
  <si>
    <t>Non-Small Cell Lung Cancer</t>
  </si>
  <si>
    <t>PC0092-000</t>
  </si>
  <si>
    <t>150 mg capsule</t>
  </si>
  <si>
    <t>As monotherapy for the treatment of patients with anaplastic lymphoma kinase (ALK) positive, locally advanced or metastatic non-small cell lung cancer (NSCLC) who have progressed on or are intolerant to crizotinib and have CNS metastases</t>
  </si>
  <si>
    <t>Anaplastic Lymphoma Kinase-Positive, Locally Advanced or Metastatic Non-Small Cell Lung Cancer</t>
  </si>
  <si>
    <t>PC0114-000</t>
  </si>
  <si>
    <t>As monotherapy for the treatment of patients with anaplastic lymphoma kinase (ALK)-positive, locally advanced (not amenable to curative therapy) or metastatic non-small cell lung cancer (NSCLC) who have progressed on or are intolerant to crizotinib until loss of clinical benefit</t>
  </si>
  <si>
    <t>Requested and Not Granted</t>
  </si>
  <si>
    <t>Pemetrexed</t>
  </si>
  <si>
    <t>Advanced or Metastatic Non-Squamous Non-Small Cell Lung Cancer</t>
  </si>
  <si>
    <t>PC0027-000</t>
  </si>
  <si>
    <t>100mg/vial and 500mg/vial</t>
  </si>
  <si>
    <t>For maintenance following first-line pemetrexed and cisplatin for advanced or metastatic Non Squamous -Non Small Cell Lung Cancer (NS-NSCLC)</t>
  </si>
  <si>
    <t>Eli Lilly Canada</t>
  </si>
  <si>
    <t>Palonosetron</t>
  </si>
  <si>
    <t>Chemotherapy-induced nausea and vomiting</t>
  </si>
  <si>
    <t>SR0415-000</t>
  </si>
  <si>
    <t>Eisai Limited</t>
  </si>
  <si>
    <t>Palonosetron hydrochloride</t>
  </si>
  <si>
    <t>SR0294-000</t>
  </si>
  <si>
    <t>Eisai Ltd.</t>
  </si>
  <si>
    <t>Do not list at the submitted price</t>
  </si>
  <si>
    <t>SR0293-000</t>
  </si>
  <si>
    <t>Ramipril/hydrochlorothiazide</t>
  </si>
  <si>
    <t>Hypertension</t>
  </si>
  <si>
    <t>SR0095-000</t>
  </si>
  <si>
    <t>Sanofi-Aventis Canada Inc.</t>
  </si>
  <si>
    <t>SR0083-000</t>
  </si>
  <si>
    <t>Sanofi –Aventis Canada inc.</t>
  </si>
  <si>
    <t>Ramipril/felodipine extended release</t>
  </si>
  <si>
    <t>SR0067-000</t>
  </si>
  <si>
    <t>Brigatinib</t>
  </si>
  <si>
    <t>NSCLC</t>
  </si>
  <si>
    <t>PC0167-000</t>
  </si>
  <si>
    <t>30 mg, 90 mg, and 180 mg</t>
  </si>
  <si>
    <t>For the treatment of adult patients with anaplastic lymphoma kinase (ALK)-positive metastatic non–small cell lung cancer (NSCLC) who have progressed on or who were intolerant to an ALK inhibitor (crizotinib).</t>
  </si>
  <si>
    <t>Takeda Canada Inc.</t>
  </si>
  <si>
    <t>(ALK)-positive locally advanced (not amenable to curative therapy) or metastatic non-small cell lung cancer (NSCLC)</t>
  </si>
  <si>
    <t>PC0230-000</t>
  </si>
  <si>
    <t>For the treatment of adult patients with anaplastic lymphoma kinase (ALK)-positive locally advanced (not amenable to curative therapy) or metastatic non-small cell lung cancer (NSCLC) previously untreated with an ALK inhibitor.</t>
  </si>
  <si>
    <t>Ciclesonide</t>
  </si>
  <si>
    <t>asthma</t>
  </si>
  <si>
    <t>SR0074-000</t>
  </si>
  <si>
    <t>Altana Pharma Inc.</t>
  </si>
  <si>
    <t>Alefacept</t>
  </si>
  <si>
    <t>Psoriasis, moderate to severe chronic plaque</t>
  </si>
  <si>
    <t>SR0053-000</t>
  </si>
  <si>
    <t>Biogen Idec Canada Inc.</t>
  </si>
  <si>
    <t>SR0024-000</t>
  </si>
  <si>
    <t>Umeclidinium/vilanterol</t>
  </si>
  <si>
    <t>Chronic obstructive pulmonary disease</t>
  </si>
  <si>
    <t>SR0371-000</t>
  </si>
  <si>
    <t>GlaxoSmithKline Inc.</t>
  </si>
  <si>
    <t>Insulin glulisine</t>
  </si>
  <si>
    <t>Diabetes, Mellitus (Type 1 &amp; 2)</t>
  </si>
  <si>
    <t>List in a similar manner to other drugs in class</t>
  </si>
  <si>
    <t>SR0144-000</t>
  </si>
  <si>
    <t>Doxycycline monohydrate</t>
  </si>
  <si>
    <t>Rosacea</t>
  </si>
  <si>
    <t>SR0279-000</t>
  </si>
  <si>
    <t>Galderma Canada Inc.</t>
  </si>
  <si>
    <t>Eslicarbazepine acetate</t>
  </si>
  <si>
    <t>Epilepsy, partial-onset seizures</t>
  </si>
  <si>
    <t>SR0391-000</t>
  </si>
  <si>
    <t>Sunovion Pharmaceuticals Canada Inc.</t>
  </si>
  <si>
    <t>Tipranavir</t>
  </si>
  <si>
    <t>HIV infection</t>
  </si>
  <si>
    <t>SR0047-000</t>
  </si>
  <si>
    <t>Boehringer Ingelheim (Canada) Inc.</t>
  </si>
  <si>
    <t>fluticasone propionate / salmeterol xinafoate</t>
  </si>
  <si>
    <t>SR0540-000</t>
  </si>
  <si>
    <t>Fluticasone furoate</t>
  </si>
  <si>
    <t>SR0439-000</t>
  </si>
  <si>
    <t>Ofatumumab</t>
  </si>
  <si>
    <t>Chronic Lymphocytic Leukemia</t>
  </si>
  <si>
    <t>PC0038-000</t>
  </si>
  <si>
    <t>20mg /vial</t>
  </si>
  <si>
    <t>Leukemia</t>
  </si>
  <si>
    <t>In combination with chlorambucil, for the treatment of patients with chronic lymphocytic leukemia (CLL) who have not received prior therapy and are inappropriate for fludarabine-based therapy.</t>
  </si>
  <si>
    <t>A delay in the receipt of marketing authorization (NOC) from Health Canada has impacted the review timeline. The submitter provided additional economic information, which further impacted the review timeline.</t>
  </si>
  <si>
    <t>Mometasone furoate</t>
  </si>
  <si>
    <t>SR0258-000</t>
  </si>
  <si>
    <t>Merck Canada Inc.</t>
  </si>
  <si>
    <t>indacaterol /mometasone furoate</t>
  </si>
  <si>
    <t>Asthma maintenance (adults, children 12 or older)</t>
  </si>
  <si>
    <t>SR0646-000</t>
  </si>
  <si>
    <t>Nelarabine</t>
  </si>
  <si>
    <t>PC0170-000</t>
  </si>
  <si>
    <t>650 mg</t>
  </si>
  <si>
    <t>Individuals, aged 1–30 years, newly diagnosed with intermediate- or high-risk (CNS1 or CNS 2) T-ALL, stages II-IV, during upfront therapy.</t>
  </si>
  <si>
    <t>Pediatric Oncology Group of Ontario</t>
  </si>
  <si>
    <t>The Submitter notified pCODR that they will be unable to submit by their original target date and an updated target submission date has not  been provided.</t>
  </si>
  <si>
    <t>Efavirenz, emtricitabine, tenofovir disoproxil fumarate</t>
  </si>
  <si>
    <t>HIV</t>
  </si>
  <si>
    <t>SR0111-000</t>
  </si>
  <si>
    <t>Bristol-Myers Squibb and Gilead Sciences</t>
  </si>
  <si>
    <t>Teriflunomide</t>
  </si>
  <si>
    <t>Multiple sclerosis, relapsing-remitting</t>
  </si>
  <si>
    <t>SR0350-000</t>
  </si>
  <si>
    <t>Genzyme Canada, a Division of Sanofi Aventis Canada Inc.</t>
  </si>
  <si>
    <t>Bevacizumab</t>
  </si>
  <si>
    <t>Cervical Cancer</t>
  </si>
  <si>
    <t>PC0045-000</t>
  </si>
  <si>
    <t>25mg/mL</t>
  </si>
  <si>
    <t>Gynecology</t>
  </si>
  <si>
    <t>In combination with chemotherapy for the treatment of patients with persistent, recurrent, or metastatic carcinoma of the cervix</t>
  </si>
  <si>
    <t>Platinum Resistant Ovarian Cancer</t>
  </si>
  <si>
    <t>PC0066-000</t>
  </si>
  <si>
    <t>In combination with paclitaxel, pegylated liposomal doxorubicin, or topotecan, for the treatment of patients with platinum-resistant recurrent epithelial ovarian, fallopian tube, or primary peritoneal cancer</t>
  </si>
  <si>
    <t>Hoffmann-La -Roche Limited</t>
  </si>
  <si>
    <t>Ovarian Cancer</t>
  </si>
  <si>
    <t>PC0047-000</t>
  </si>
  <si>
    <t>In combination with paclitaxel and carboplatin for the front-line treatment of epithelial ovarian, fallopian tube or primary peritoneal cancer patients with high risk of relapse (stage III sub-optimally debulked, or stage III unresectable, or stage IV patients</t>
  </si>
  <si>
    <t>PC0100-000</t>
  </si>
  <si>
    <t>100 mg and 400 mg vials</t>
  </si>
  <si>
    <t>In combination with pemetrexed and cisplatin or carboplatin (for cisplatin ineligible patients), for first-line treatment in patients with unresectable malignant pleural mesothelioma</t>
  </si>
  <si>
    <t>Hoffmann-La Roche Limited requested a voluntary withdrawal of the pCODR 10100 Bevacizumab (Avastin) MPM Submission.  As per pCODR Procedures B3.1.6.2 b), the pCODR Provincial Advisory Group has agreed to the request to withdraw and decided to not continue the review as a PAG Submission.</t>
  </si>
  <si>
    <t>Metastatic Colorectal Cancer</t>
  </si>
  <si>
    <t>PC0055-000</t>
  </si>
  <si>
    <t>25 mg/mL</t>
  </si>
  <si>
    <t>In combination with capecitabine, for the first-line treatment of advanced or metastatic colorectal cancer (CRC) for patients who are not suitable for oxaliplatin or irinotecan-based therapy</t>
  </si>
  <si>
    <t>Cancer Care Ontario Gastrointestinal Disease Site Group</t>
  </si>
  <si>
    <t>Dutasteride</t>
  </si>
  <si>
    <t>Prostatic hyperplasia, benign</t>
  </si>
  <si>
    <t>SR0019-000</t>
  </si>
  <si>
    <t>Almotriptan</t>
  </si>
  <si>
    <t>SR0005-000</t>
  </si>
  <si>
    <t>Janssen-Ortho Inc.</t>
  </si>
  <si>
    <t>Brinzolamide and timolol maleate suspension</t>
  </si>
  <si>
    <t>Glaucoma and ocular hypertension</t>
  </si>
  <si>
    <t>SR0173-000</t>
  </si>
  <si>
    <t>Alcon Canada Inc.</t>
  </si>
  <si>
    <t>Rasagiline mesylate</t>
  </si>
  <si>
    <t>Parkinson's disease</t>
  </si>
  <si>
    <t>SR0073-000</t>
  </si>
  <si>
    <t>Teva Neurosciences</t>
  </si>
  <si>
    <t>Parkinson?s disease</t>
  </si>
  <si>
    <t>SF0161-000</t>
  </si>
  <si>
    <t>Teva Pharmaceuticals Industries Ltd.</t>
  </si>
  <si>
    <t>Rufinamide</t>
  </si>
  <si>
    <t>Lennox-Gastaut syndrome</t>
  </si>
  <si>
    <t>SR0252-000</t>
  </si>
  <si>
    <t>glucagon</t>
  </si>
  <si>
    <t>Severe hypoglycemic reactions</t>
  </si>
  <si>
    <t>SR0626-000</t>
  </si>
  <si>
    <t>Entecavir</t>
  </si>
  <si>
    <t>Hepatitis B (chronic)</t>
  </si>
  <si>
    <t>SR0089-000</t>
  </si>
  <si>
    <t>Insulin glargine</t>
  </si>
  <si>
    <t>Diabetes mellitus, type 1; diabetes mellitus, type 2</t>
  </si>
  <si>
    <t>SE0451-000</t>
  </si>
  <si>
    <t>Avelumab</t>
  </si>
  <si>
    <t>metastatic Merkel Cell Carcinoma (mMCC)</t>
  </si>
  <si>
    <t>PC0124-000</t>
  </si>
  <si>
    <t>20 mg/mL</t>
  </si>
  <si>
    <t>Skin &amp; Melanoma</t>
  </si>
  <si>
    <t>For the treatment of mMCC in previously treated adults</t>
  </si>
  <si>
    <t>EMD Serono - Pfizer Alliance</t>
  </si>
  <si>
    <t>Urothelial Carcinoma (UC)</t>
  </si>
  <si>
    <t>PC0225-000</t>
  </si>
  <si>
    <t>Genitourinary</t>
  </si>
  <si>
    <t>Bavencio is indicated for the first-line maintenance treatment of patients with locally advanced or metastatic urothelial carcinoma (UC) whose disease has not progressed with first-line platinum-based induction chemotherapy.</t>
  </si>
  <si>
    <t>Belinostat</t>
  </si>
  <si>
    <t>PC0139-000</t>
  </si>
  <si>
    <t>For the treatment of patients with relapsed or refractory PTCL</t>
  </si>
  <si>
    <t>Servier Canada Inc.</t>
  </si>
  <si>
    <t>Servier Canada Inc. has notified pCODR that the Category 2 submission requirements for the pre NOC submission of Belinostat (Beleodaq) for Peripheral T-Cell Lymphoma (PTCL) cannot be met at this time. As per pCODR Procedures C3.1.6, the pCODR program has stopped the review.</t>
  </si>
  <si>
    <t>Belimumab</t>
  </si>
  <si>
    <t>systemic lupus erythematosus</t>
  </si>
  <si>
    <t>SR0616-000</t>
  </si>
  <si>
    <t>Systemic lupus erythematosus</t>
  </si>
  <si>
    <t>SR0251-000</t>
  </si>
  <si>
    <t>brolucizumab</t>
  </si>
  <si>
    <t>Macular degeneration, age-related</t>
  </si>
  <si>
    <t>SR0632-000</t>
  </si>
  <si>
    <t>Inotuzumab Ozogamicin</t>
  </si>
  <si>
    <t>Acute Lymphoblastic Leukemia (ALL)</t>
  </si>
  <si>
    <t>PC0121-000</t>
  </si>
  <si>
    <t>0.9 mg/vial</t>
  </si>
  <si>
    <t>For the treatment of relapsed or refractory B-cell precursor acute lymphoblastic leukemia (ALL)</t>
  </si>
  <si>
    <t>Pfizer Canada Inc.</t>
  </si>
  <si>
    <t>estradiol and progesterone</t>
  </si>
  <si>
    <t>Vasomotor symptoms associated with menopause</t>
  </si>
  <si>
    <t>SR0697-000</t>
  </si>
  <si>
    <t>N/A</t>
  </si>
  <si>
    <t>Knight Therapeutics Inc.</t>
  </si>
  <si>
    <t>bictegravir/emtricitabine/tenofovir alafenamide</t>
  </si>
  <si>
    <t>HIV-1 infection</t>
  </si>
  <si>
    <t>SR0567-000</t>
  </si>
  <si>
    <t>Gilead Sciences Canada, Inc.</t>
  </si>
  <si>
    <t>Blinatumomab</t>
  </si>
  <si>
    <t>MRD+ ALL Resubmission</t>
  </si>
  <si>
    <t>PC0204-000</t>
  </si>
  <si>
    <t>38.5 mcg</t>
  </si>
  <si>
    <t>Patients with Philadelphia chromosome-negative CD19 positive B-precursor acute lymphoblastic leukemia (ALL) in first or second hematologic complete remission with minimal residual disease (MRD) greater than or equal to 0.1%</t>
  </si>
  <si>
    <t>Amgen Canada Inc</t>
  </si>
  <si>
    <t>Acute Lymphoblastic Leukemia</t>
  </si>
  <si>
    <t>PC0064-000</t>
  </si>
  <si>
    <t>38.5 µg (mcg) vial</t>
  </si>
  <si>
    <t>For the treatment of patients with Philadelphia chromosome-negative relapsed or refractory B precursor acute lymphoblastic leukemia (ALL)</t>
  </si>
  <si>
    <t>Amgen Canada Inc.</t>
  </si>
  <si>
    <t>The Manufacturer had advised that Category 2 submission requirements for a pre-NOC submission were not available to complete the submission for a December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</si>
  <si>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Philadelphia chromosome positive (Ph+) B-cell precursor (BCP) acute lymphoblastic leukemia (ALL)</t>
  </si>
  <si>
    <t>PC0146-000</t>
  </si>
  <si>
    <t>Adult patients (i.e., &gt;= 18 years) with Ph+ BCP-ALL, who have relapsed after or are refractory to at least one second-generation or later TKI, or are intolerant to second-generation or later TKIs and intolerant or refractory to imatinib</t>
  </si>
  <si>
    <t>PC0143-000</t>
  </si>
  <si>
    <t>For the treatment of patients with minimal residual disease (MRD)-positive B-cell precursor ALL</t>
  </si>
  <si>
    <t>Amgen Canada Inc. has notified pCODR that the Category 2 submission requirements for the pre NOC submission of Blinatumomab (Blincyto) for MRD-positive B-cell precursor ALL cannot be met at this time. As per pCODR Procedures C3.1.6, the pCODR program has stopped the review.</t>
  </si>
  <si>
    <t>Acute Lymphoblastic Leukemia (pediatric)</t>
  </si>
  <si>
    <t>PC0099 -000</t>
  </si>
  <si>
    <t>38.5mcg vial</t>
  </si>
  <si>
    <t>For the treatment of pediatric patients with Philadelphia chromosome-negative relapsed or refractory B precursor acute lymphoblastic leukemia (ALL)</t>
  </si>
  <si>
    <t>The Manufacturer had initially advised that Category 2 submission requirements for a pre-NOC submission would not be available to complete the submission for a June pERC meeting date. An updated target date for the pERC meeting had been set by pCODR, based on the anticipated timing of the manufacturer being able to provide these outstanding submission requirements.</t>
  </si>
  <si>
    <t>PC0097-000</t>
  </si>
  <si>
    <t>For the treatment of all adult patients with Philadelphia chromosome-negative relapsed or refractory B-precursor acute lymphoblastic leukemia (ALL), including those who have had one prior line of therapy (i.e., adult patients who are refractory or patients who are in first or later relapse)</t>
  </si>
  <si>
    <t>Bosutinib</t>
  </si>
  <si>
    <t>Chronic Myeloid Leukemia</t>
  </si>
  <si>
    <t>PC0039-000</t>
  </si>
  <si>
    <t>100 mg and 500mg tablets</t>
  </si>
  <si>
    <t>For the treatment of chronic, accelerated, or blast phase Philadelphia chromosome-positive (Ph+) chronic myelogenous leukemia (CML) in adult patients with resistance or intolerance to prior TKI therapy, and for whom subsequent treatment with imatinib, nilotinib and dasatinib is not clinically appropriate.</t>
  </si>
  <si>
    <t>No</t>
  </si>
  <si>
    <t>Time required for the submitter to provide additional information has impacted the review timeline.</t>
  </si>
  <si>
    <t>PA0002-000</t>
  </si>
  <si>
    <t>pCODR Provincial Advisory Group</t>
  </si>
  <si>
    <t>OnabotulinumtoxinA</t>
  </si>
  <si>
    <t>Urinary incontinence</t>
  </si>
  <si>
    <t>SR0362-000</t>
  </si>
  <si>
    <t>Allergan Inc.</t>
  </si>
  <si>
    <t>onabotulinumtoxinA</t>
  </si>
  <si>
    <t>Migraine, chronic</t>
  </si>
  <si>
    <t>SR0584-000</t>
  </si>
  <si>
    <t>Allergan Canada Inc.</t>
  </si>
  <si>
    <t>SR0345-000</t>
  </si>
  <si>
    <t>Neurogenic detrusor overactivity</t>
  </si>
  <si>
    <t>SR0268-000</t>
  </si>
  <si>
    <t>encorafenib</t>
  </si>
  <si>
    <t>Metastatic colorectal cancer</t>
  </si>
  <si>
    <t>PC0233-000</t>
  </si>
  <si>
    <t>Pfizer Canada ULC</t>
  </si>
  <si>
    <t>encorafenib and binimetinib</t>
  </si>
  <si>
    <t>Advanced Melanoma</t>
  </si>
  <si>
    <t>PC0232-000</t>
  </si>
  <si>
    <t>Etanercept</t>
  </si>
  <si>
    <t>Rheumatoid arthritis, Ankylosing spondylitis</t>
  </si>
  <si>
    <t>SE0485-000</t>
  </si>
  <si>
    <t>Fluticasone furoate /vilanterol</t>
  </si>
  <si>
    <t>Chronic Obstructive Pulmonary Disease (COPD)</t>
  </si>
  <si>
    <t>SR0358-000</t>
  </si>
  <si>
    <t>GlaxoSmithKline</t>
  </si>
  <si>
    <t>fluticasone furoate/vilanterol</t>
  </si>
  <si>
    <t>SR0568-000</t>
  </si>
  <si>
    <t>Fluticasone Furoate and Vilanterol (as trifenatate)</t>
  </si>
  <si>
    <t>SR0442-000</t>
  </si>
  <si>
    <t>COPD</t>
  </si>
  <si>
    <t>SR0524-000</t>
  </si>
  <si>
    <t>budesonide/ glycopyrronium /formoterol fumarate</t>
  </si>
  <si>
    <t>chronic obstructive pulmonary disease (COPD)</t>
  </si>
  <si>
    <t>SR0675-000</t>
  </si>
  <si>
    <t>AstraZeneca Canada Inc.</t>
  </si>
  <si>
    <t>Ticagrelor</t>
  </si>
  <si>
    <t>Acute Coronary Syndromes</t>
  </si>
  <si>
    <t>SR0203-000</t>
  </si>
  <si>
    <t>AstraZeneca Canada Inc</t>
  </si>
  <si>
    <t>Acute coronary syndromes</t>
  </si>
  <si>
    <t>SR0234-000</t>
  </si>
  <si>
    <t>ticagrelor</t>
  </si>
  <si>
    <t>Prevention of atherothrombotic events with history of myocardial infarction</t>
  </si>
  <si>
    <t>SR0474-000</t>
  </si>
  <si>
    <t>cerliponase alfa</t>
  </si>
  <si>
    <t>Neuronal Ceroid Lipofuscinosis Type 2</t>
  </si>
  <si>
    <t>SR0574-000</t>
  </si>
  <si>
    <t>Biomarin Pharmaceutical (Canada) Inc.</t>
  </si>
  <si>
    <t>Brivaracetam</t>
  </si>
  <si>
    <t>SR0484-000</t>
  </si>
  <si>
    <t>UCB Canada Inc.</t>
  </si>
  <si>
    <t>zanubrutinib</t>
  </si>
  <si>
    <t>Mantle cell lymphoma (MCL)</t>
  </si>
  <si>
    <t>Received</t>
  </si>
  <si>
    <t>PC0267-000</t>
  </si>
  <si>
    <t>BeiGene Canada ULC</t>
  </si>
  <si>
    <t>Waldenström’s macroglobulinemia</t>
  </si>
  <si>
    <t>PC0248-000</t>
  </si>
  <si>
    <t>BeiGene, Ltd.</t>
  </si>
  <si>
    <t>Buprenorphine transdermal patch</t>
  </si>
  <si>
    <t>Pain, moderate intensity persistent pain</t>
  </si>
  <si>
    <t>SR0233-000</t>
  </si>
  <si>
    <t>Pain, persistent (moderate intensity)</t>
  </si>
  <si>
    <t>SR0211-000</t>
  </si>
  <si>
    <t>Exenatide</t>
  </si>
  <si>
    <t>Diabetes mellitus, type 2</t>
  </si>
  <si>
    <t>SR0246-000</t>
  </si>
  <si>
    <t>Nebivolol</t>
  </si>
  <si>
    <t>SR0307-000</t>
  </si>
  <si>
    <t>Forest Laboratories Canada Inc.</t>
  </si>
  <si>
    <t>caplacizumab</t>
  </si>
  <si>
    <t>Acquired thrombotic thrombocytopenic purpura (aTTP)</t>
  </si>
  <si>
    <t>SR0633-000</t>
  </si>
  <si>
    <t>Sanofi-Genzyme, a division of sanofi-aventis Canada Inc.</t>
  </si>
  <si>
    <t>Cabozantinib</t>
  </si>
  <si>
    <t>HCC</t>
  </si>
  <si>
    <t>PC0186-000</t>
  </si>
  <si>
    <t>20 mg, 40 mg &amp; 60 mg</t>
  </si>
  <si>
    <t>For the treatment of Hepatocellular Carcinoma (HCC) in adults after prior therapy</t>
  </si>
  <si>
    <t>Ipsen Biopharmaceuticals Canada Inc.</t>
  </si>
  <si>
    <t>Renal Cell Carcinoma (RCC)</t>
  </si>
  <si>
    <t>PC0163-000</t>
  </si>
  <si>
    <t>For the treatment of patients with advanced renal cell carcinoma (RCC) who have received prior therapy.</t>
  </si>
  <si>
    <t>Amlodipine besylate/ atorvastatin calcium</t>
  </si>
  <si>
    <t>Hypertension/ Dyslipidemia</t>
  </si>
  <si>
    <t>SR0048-000</t>
  </si>
  <si>
    <t>Acalabrutinib</t>
  </si>
  <si>
    <t>Chronic Lymphocytic Leukemia (CLL) / Small Lymphocytic Lymphoma (SLL)</t>
  </si>
  <si>
    <t>PC0210-000</t>
  </si>
  <si>
    <t>100 mg</t>
  </si>
  <si>
    <t>With or without obinutuzumab, for the treatment of patients with previously untreated chronic lymphocytic leukemia (CLL) for whom a fludarabine-based regimen is inappropriate.</t>
  </si>
  <si>
    <t>Chronic Lymphocytic Leukemia (CLL)</t>
  </si>
  <si>
    <t>PC0211-000</t>
  </si>
  <si>
    <t>As monotherapy for the treatment of patients with chronic lymphocytic leukemia (CLL) who have received at least one prior therapy.</t>
  </si>
  <si>
    <t>Acamprosate calcium</t>
  </si>
  <si>
    <t>Alcohol Abstinence</t>
  </si>
  <si>
    <t>SF0143-000</t>
  </si>
  <si>
    <t>Prempharm Inc.</t>
  </si>
  <si>
    <t>SR0108-000</t>
  </si>
  <si>
    <t>Vandetanib</t>
  </si>
  <si>
    <t>Medullary Thyroid Cancer</t>
  </si>
  <si>
    <t>PC0090-000</t>
  </si>
  <si>
    <t>100 mg and 300 mg tablets</t>
  </si>
  <si>
    <t>For the treatment of symptomatic and/or progressive medullary thyroid cancer in adult patients with unresectable locally advanced or metastatic disease</t>
  </si>
  <si>
    <t>Sanofi Genzyme</t>
  </si>
  <si>
    <t>Aztreonam for inhalation solution</t>
  </si>
  <si>
    <t>Cystic fibrosis, chronic pulmonary pseudomonas aeruginosa infections</t>
  </si>
  <si>
    <t>SR0220-000</t>
  </si>
  <si>
    <t>Gilead Sciences Canada Inc.</t>
  </si>
  <si>
    <t>Maraviroc</t>
  </si>
  <si>
    <t>SR0136-000</t>
  </si>
  <si>
    <t>SR0221-000</t>
  </si>
  <si>
    <t>SR0113-000</t>
  </si>
  <si>
    <t>Eliglustat</t>
  </si>
  <si>
    <t>Gaucher disease</t>
  </si>
  <si>
    <t>SR0511-000</t>
  </si>
  <si>
    <t>Varenicline tartrate</t>
  </si>
  <si>
    <t>Smoking-cessation</t>
  </si>
  <si>
    <t>SR0094-000</t>
  </si>
  <si>
    <t>Certolizumab pegol</t>
  </si>
  <si>
    <t>Ankylosing spondylitis</t>
  </si>
  <si>
    <t>SR0385-000</t>
  </si>
  <si>
    <t>SR0175-000</t>
  </si>
  <si>
    <t>UCB Pharma Canada Inc.</t>
  </si>
  <si>
    <t>Arthritis, psoriatic</t>
  </si>
  <si>
    <t>SR0394-000</t>
  </si>
  <si>
    <t>certolizumab pegol</t>
  </si>
  <si>
    <t>Psoriasis, moderate to severe plaque</t>
  </si>
  <si>
    <t>SR0587-000</t>
  </si>
  <si>
    <t>Reslizumab</t>
  </si>
  <si>
    <t>Asthma, eosinophilic</t>
  </si>
  <si>
    <t>SR0495-000</t>
  </si>
  <si>
    <t>reslizumab</t>
  </si>
  <si>
    <t>SF0591-000</t>
  </si>
  <si>
    <t>Escitalopram oxalate</t>
  </si>
  <si>
    <t>Depression, Major Depressive Disorder (MDD)</t>
  </si>
  <si>
    <t>SR0064-000</t>
  </si>
  <si>
    <t>Lundbeck Canada Inc.</t>
  </si>
  <si>
    <t>SR0039-000</t>
  </si>
  <si>
    <t>Ciprofloxacin hydrochloride and dexamethasone otic suspension</t>
  </si>
  <si>
    <t>Otitis media with otorrhea &amp; otitis externa, acute</t>
  </si>
  <si>
    <t>SR0014-000</t>
  </si>
  <si>
    <t>Ciprofloxacin hydrochloride &amp; dexamethasone otic suspension</t>
  </si>
  <si>
    <t>SF0101-000</t>
  </si>
  <si>
    <t>clofarabine</t>
  </si>
  <si>
    <t>Acute lymphoblastic leukemia</t>
  </si>
  <si>
    <t>CADTH is unable to recommend reimbursement as a submission was not filed by the manufacturer</t>
  </si>
  <si>
    <t>Not filed</t>
  </si>
  <si>
    <t>Non-submission</t>
  </si>
  <si>
    <t>Brimonidine tartrate/timolol maleate</t>
  </si>
  <si>
    <t>Glaucoma</t>
  </si>
  <si>
    <t>SR0001-000</t>
  </si>
  <si>
    <t>Emtricitabine/ rilpivirine/ tenofovir disoproxil fumarate</t>
  </si>
  <si>
    <t>SR0256-000</t>
  </si>
  <si>
    <t>Gilead Science Canada Ltd.</t>
  </si>
  <si>
    <t>Linaclotide</t>
  </si>
  <si>
    <t>Irritable bowel syndrome with constipation</t>
  </si>
  <si>
    <t>SR0409-000</t>
  </si>
  <si>
    <t>Actavis Specialty Pharmaceuticals Co.</t>
  </si>
  <si>
    <t>naltrexone hydrochloride and bupropion hydrochloride</t>
  </si>
  <si>
    <t>Chronic weight management in adults</t>
  </si>
  <si>
    <t>SR0610-000</t>
  </si>
  <si>
    <t>Bausch Health, Canada Inc.</t>
  </si>
  <si>
    <t>Glatiramer acetate</t>
  </si>
  <si>
    <t>Clinically Isolated Syndrome (CIS), suggestive of Multiple Sclerosis</t>
  </si>
  <si>
    <t>SR0164-000</t>
  </si>
  <si>
    <t>Teva Pharmaceutical Industries Ltd.</t>
  </si>
  <si>
    <t>Budesonide</t>
  </si>
  <si>
    <t>Ulcerative Colitis</t>
  </si>
  <si>
    <t>SR0491-000</t>
  </si>
  <si>
    <t>Ferring Inc.</t>
  </si>
  <si>
    <t>ranolazine</t>
  </si>
  <si>
    <t>Stable angina pectoris, adults</t>
  </si>
  <si>
    <t>SR0655-000</t>
  </si>
  <si>
    <t>KYE Pharmaceuticals Inc.</t>
  </si>
  <si>
    <t>Secukinumab</t>
  </si>
  <si>
    <t>Plaque psoriasis</t>
  </si>
  <si>
    <t>SR0407-000</t>
  </si>
  <si>
    <t>ankylosing spondylitis</t>
  </si>
  <si>
    <t>SR0475-000</t>
  </si>
  <si>
    <t>SR0476-000</t>
  </si>
  <si>
    <t>Cobimetinib</t>
  </si>
  <si>
    <t>Metastatic melanoma</t>
  </si>
  <si>
    <t>PC0070-000</t>
  </si>
  <si>
    <t>20 mg tablet</t>
  </si>
  <si>
    <t>Skin and Melanoma</t>
  </si>
  <si>
    <t>In combination vermurafenib, for the treatment of patients with unresectable or metastatic melanoma with BRAF V600 mutation</t>
  </si>
  <si>
    <t>Hoffmann-la Roche Ltd.</t>
  </si>
  <si>
    <t>isavuconazole</t>
  </si>
  <si>
    <t>Treatment of invasive aspergillosis and mucormycosis</t>
  </si>
  <si>
    <t>SR0586-000</t>
  </si>
  <si>
    <t>AVIR Pharma Inc.</t>
  </si>
  <si>
    <t>burosumab</t>
  </si>
  <si>
    <t>Treatment of X-Linked Hypophosphatemia</t>
  </si>
  <si>
    <t>SR0602-000</t>
  </si>
  <si>
    <t>Kyowa Kirin Limited</t>
  </si>
  <si>
    <t>Daptomycin</t>
  </si>
  <si>
    <t>Skin and skin structure infections &amp; bacteremia</t>
  </si>
  <si>
    <t>SR0127-000</t>
  </si>
  <si>
    <t>Cubist Pharmaceuticals Inc.</t>
  </si>
  <si>
    <t>glycopyrrolate</t>
  </si>
  <si>
    <t>chronic severe drooling, neurologic (pediatric)</t>
  </si>
  <si>
    <t>SR0613-000</t>
  </si>
  <si>
    <t>MEDEXUS Pharmaceuticals, Inc.</t>
  </si>
  <si>
    <t>Duloxetine hydrochloride</t>
  </si>
  <si>
    <t>Depressive, Major Disorder (MDD)</t>
  </si>
  <si>
    <t>SR0125-000</t>
  </si>
  <si>
    <t>Pain, Neuropathic, Diabetic</t>
  </si>
  <si>
    <t>SR0126-000</t>
  </si>
  <si>
    <t>Ramucirumab</t>
  </si>
  <si>
    <t>Metastatic Gastric Cancer or Gastro-Esophageal Junction Adenocarcinoma</t>
  </si>
  <si>
    <t>PC0059-000</t>
  </si>
  <si>
    <t>10 mg/mL</t>
  </si>
  <si>
    <t>As a single agent or in combination with paclitaxel for the treatment of patients with advanced or metastatic gastric cancer or gastro-esophageal junction adenocarcinoma after prior chemotherapy</t>
  </si>
  <si>
    <t>PC0078-000</t>
  </si>
  <si>
    <t>For the treatment of patients with advanced or metastatic non-small cell lung cancer who progressed on or after platinum-based chemotherapy in combination with docetaxel</t>
  </si>
  <si>
    <t>The submitter notified pCODR that they will not be filing the submission.</t>
  </si>
  <si>
    <t>cysteamine</t>
  </si>
  <si>
    <t>Corneal cystine crystal deposits</t>
  </si>
  <si>
    <t>SR0595-000</t>
  </si>
  <si>
    <t>Recordati Rare Diseases Canada Inc.</t>
  </si>
  <si>
    <t>Daclatasvir</t>
  </si>
  <si>
    <t>Hepatitis C, Chronic</t>
  </si>
  <si>
    <t>SR0417-000</t>
  </si>
  <si>
    <t>Bristol-Myers Squibb Canada Inc.</t>
  </si>
  <si>
    <t>daclatasvir</t>
  </si>
  <si>
    <t>SF0467-000</t>
  </si>
  <si>
    <t>Bristol Myers Squibb Canada Inc.</t>
  </si>
  <si>
    <t>Daratumumab</t>
  </si>
  <si>
    <t>Rd for MM</t>
  </si>
  <si>
    <t>PC0189-000</t>
  </si>
  <si>
    <t>100 mg/5 mL &amp; 400 mg/20 mL</t>
  </si>
  <si>
    <t>Multiple Myeloma</t>
  </si>
  <si>
    <t>In combination with lenalidomide and dexamethasone for the treatment of patients with newly diagnosed multiple myeloma who are ineligible for autologous stem cell transplant.</t>
  </si>
  <si>
    <t>Janssen Inc.</t>
  </si>
  <si>
    <t>Multiple Myeloma (second-line)</t>
  </si>
  <si>
    <t>PC0104-000</t>
  </si>
  <si>
    <t>20mg/mL</t>
  </si>
  <si>
    <t>In combination with lenalidomide and dexamethasone, or bortezomib and dexamethasone, for the treatment of patients with multiple myeloma who have received at least one prior therapy</t>
  </si>
  <si>
    <t>daratumumab</t>
  </si>
  <si>
    <t>Llight chain (AL) amyloidosis</t>
  </si>
  <si>
    <t>PC0257-000</t>
  </si>
  <si>
    <t>Other</t>
  </si>
  <si>
    <t>PC0079-000</t>
  </si>
  <si>
    <t>100mg/5mL and 400mg/20mL</t>
  </si>
  <si>
    <t>For the treatment of patients with multiple myeloma who 1) have received at least 3 prior lines of therapy including a proteasome inhibitor (PI) and  an immunomodulatory agent (IMiD); OR 2) have failed or are intolerant to a PI and who have failed or are intolerant to an IMiD</t>
  </si>
  <si>
    <t>Janssen Canada Inc.</t>
  </si>
  <si>
    <t>BMP for Multiple Myeloma (newly diagnosed)</t>
  </si>
  <si>
    <t>PC0148-000</t>
  </si>
  <si>
    <t>100 mg/5mL and 400 mg/20mL</t>
  </si>
  <si>
    <t>In combination with bortezomib, melphalan and prednisone, for the treatment of patients with newly diagnosed multiple myeloma who are not suitable for autologous stem cell transplant</t>
  </si>
  <si>
    <t>Glasdegib</t>
  </si>
  <si>
    <t>Acute Myeloid Leukemia (AML)</t>
  </si>
  <si>
    <t>PC0207-000</t>
  </si>
  <si>
    <t>25 mg and 100 mg</t>
  </si>
  <si>
    <t>In combination with low-dose cytarabine, for the treatment of newly diagnosed and previously untreated acute myeloid leukemia (AML) in adult patients, who are age ≥75 years or who are not eligible to receive intensive induction chemotherapy.</t>
  </si>
  <si>
    <t>Roflumilast</t>
  </si>
  <si>
    <t>SR0218-000</t>
  </si>
  <si>
    <t>Nycomed Canada Inc.</t>
  </si>
  <si>
    <t>doravirine lamuvidine tenofovir disoproxil fumarate</t>
  </si>
  <si>
    <t>SR0581-000</t>
  </si>
  <si>
    <t>Decitabine</t>
  </si>
  <si>
    <t>Pharmascience Inc.</t>
  </si>
  <si>
    <t>CADTH is unable to recommend reimbursement of the relevant product because a submission to CADTH was not filed by the manufacturer.</t>
  </si>
  <si>
    <t>Penciclovir</t>
  </si>
  <si>
    <t>Herpes labialis (cold sores)</t>
  </si>
  <si>
    <t>SR0075-000</t>
  </si>
  <si>
    <t>Novartis Consumer Health Care Inc.</t>
  </si>
  <si>
    <t>Emtricitabine /tenofovir alafenamide</t>
  </si>
  <si>
    <t>SR0470-000</t>
  </si>
  <si>
    <t>Stiripentol</t>
  </si>
  <si>
    <t>Dravet Syndrome</t>
  </si>
  <si>
    <t>SR0360-000</t>
  </si>
  <si>
    <t>Biocodex</t>
  </si>
  <si>
    <t>Fidaxomicin</t>
  </si>
  <si>
    <t>Clostridium difficile infection</t>
  </si>
  <si>
    <t>SR0285-000</t>
  </si>
  <si>
    <t>Optimer Pharmaceuticals Canada, Inc.</t>
  </si>
  <si>
    <t>triheptanoin</t>
  </si>
  <si>
    <t>Long-chain fatty acid oxidation disorders</t>
  </si>
  <si>
    <t>SR0684-000</t>
  </si>
  <si>
    <t>Ultragenyx Canada Inc</t>
  </si>
  <si>
    <t>dolutegravir / lamivudine</t>
  </si>
  <si>
    <t>SR0601-000</t>
  </si>
  <si>
    <t>ViiV Healthcare</t>
  </si>
  <si>
    <t>Aclidinium bromide/formoterol fumarate dihydrate</t>
  </si>
  <si>
    <t>SR0423-000</t>
  </si>
  <si>
    <t>Halobetasol propionate and tazarotene</t>
  </si>
  <si>
    <t>SR0638-000</t>
  </si>
  <si>
    <t>Levodopa / carbidopa</t>
  </si>
  <si>
    <t>SR0154-000</t>
  </si>
  <si>
    <t>Solvay Pharma Inc.</t>
  </si>
  <si>
    <t>Levodopa / carbidopa (Drug Plan Submission)</t>
  </si>
  <si>
    <t>SR0557-000</t>
  </si>
  <si>
    <t>AbbVie Corporation</t>
  </si>
  <si>
    <t>Drug Plan Initiated</t>
  </si>
  <si>
    <t>Travoprost and timolol maleate</t>
  </si>
  <si>
    <t>SR0057-000</t>
  </si>
  <si>
    <t>dupilumab</t>
  </si>
  <si>
    <t>SR0667-000</t>
  </si>
  <si>
    <t>Sanofi Genzyme, a division of sanofi-aventis Canada Inc.</t>
  </si>
  <si>
    <t>atopic dermatitis</t>
  </si>
  <si>
    <t>SR0636-000</t>
  </si>
  <si>
    <t>SR0533-000</t>
  </si>
  <si>
    <t>Sanofi-Genzyme</t>
  </si>
  <si>
    <t>atopic dermatitis, pediatrics</t>
  </si>
  <si>
    <t>Pending</t>
  </si>
  <si>
    <t>SR0682-000</t>
  </si>
  <si>
    <t>Azelastine  HCl and fluticasone propionate</t>
  </si>
  <si>
    <t>Seasonal allergic rhinitis</t>
  </si>
  <si>
    <t>SR0408-000</t>
  </si>
  <si>
    <t>Meda Pharmaceuticals Ltd.</t>
  </si>
  <si>
    <t>abobotulinumtoxinA</t>
  </si>
  <si>
    <t>Cervical dystonia</t>
  </si>
  <si>
    <t>SR0512-000</t>
  </si>
  <si>
    <t>IPSEN Biopharmaceuticals Canada, Inc.</t>
  </si>
  <si>
    <t>lower limb spasticity</t>
  </si>
  <si>
    <t>SR0556-000</t>
  </si>
  <si>
    <t>Upper limb spasticity</t>
  </si>
  <si>
    <t>SR0517-000</t>
  </si>
  <si>
    <t>Memantine hydrochloride</t>
  </si>
  <si>
    <t>Dementia (Alzheimer type), moderate to severe</t>
  </si>
  <si>
    <t>SR0025-000</t>
  </si>
  <si>
    <t>Azilsartan medoxomil</t>
  </si>
  <si>
    <t>SR0317-000</t>
  </si>
  <si>
    <t>Azilsartan medoxomil + chlorthalidone</t>
  </si>
  <si>
    <t>SR0318-000</t>
  </si>
  <si>
    <t>Rilpivirine</t>
  </si>
  <si>
    <t>SR0243-000</t>
  </si>
  <si>
    <t>Prasugrel</t>
  </si>
  <si>
    <t>Acute coronary syndrome</t>
  </si>
  <si>
    <t>SR0263-000</t>
  </si>
  <si>
    <t>Eli Lily Canada Inc.</t>
  </si>
  <si>
    <t>Prasugrel hydrochloride</t>
  </si>
  <si>
    <t>Acute Coronary Syndrome</t>
  </si>
  <si>
    <t>SR0200-000</t>
  </si>
  <si>
    <t>Tesamorelin</t>
  </si>
  <si>
    <t>Lipodystrophy, HIV-infected patients</t>
  </si>
  <si>
    <t>SR0477-000</t>
  </si>
  <si>
    <t>Theratechnologies Inc.</t>
  </si>
  <si>
    <t>Idursulfase</t>
  </si>
  <si>
    <t>Mucopolysarccharidosis II (MPS II), Hunter Syndrome</t>
  </si>
  <si>
    <t>SR0104-000</t>
  </si>
  <si>
    <t>Shire Human Genetic Therapies, Inc.</t>
  </si>
  <si>
    <t>Taliglucerase alfa</t>
  </si>
  <si>
    <t>SR0390-000</t>
  </si>
  <si>
    <t>Apixaban</t>
  </si>
  <si>
    <t>Venous thromboembolic events, treatment and prevention of recurrence</t>
  </si>
  <si>
    <t>SR0397-000</t>
  </si>
  <si>
    <t>Bristol-Myers Squibb Canada and Pfizer Canada Inc. Alliance</t>
  </si>
  <si>
    <t>Thromboembolic events prevention, (atrial fibrillation)</t>
  </si>
  <si>
    <t>SR0288-000</t>
  </si>
  <si>
    <t>Venous thromboembolic events, prevention</t>
  </si>
  <si>
    <t>SR0264-000</t>
  </si>
  <si>
    <t>Bristol-Myers Squibb and Pfizer Canada Alliance</t>
  </si>
  <si>
    <t>Aprepitant</t>
  </si>
  <si>
    <t>Nausea and Vomiting, Chemotherapy induced</t>
  </si>
  <si>
    <t>SR0109-000</t>
  </si>
  <si>
    <t>Merck Frosst Canada Ltd.</t>
  </si>
  <si>
    <t>galcanezumab</t>
  </si>
  <si>
    <t>Episodic cluster headache</t>
  </si>
  <si>
    <t>Prevention of migraine</t>
  </si>
  <si>
    <t>SR0693-000</t>
  </si>
  <si>
    <t>Eli Lilly Canada Inc. (Lilly)</t>
  </si>
  <si>
    <t>Darifenacin hydrobromide</t>
  </si>
  <si>
    <t>Bladder, overactive</t>
  </si>
  <si>
    <t>SR0147-000</t>
  </si>
  <si>
    <t>SR0061-000</t>
  </si>
  <si>
    <t>indacaterol  glycopyrronium  mometasone furoate</t>
  </si>
  <si>
    <t>Asthma maintenance, adults</t>
  </si>
  <si>
    <t>SR0645-000</t>
  </si>
  <si>
    <t>satralizumab</t>
  </si>
  <si>
    <t>Neuromyelitis optica spectrum disorder</t>
  </si>
  <si>
    <t>SR0663-000</t>
  </si>
  <si>
    <t>Sacubitril/valsartan</t>
  </si>
  <si>
    <t>Heart failure, NYHA class II or III</t>
  </si>
  <si>
    <t>SR0447-000</t>
  </si>
  <si>
    <t>sacubitril/valsartan</t>
  </si>
  <si>
    <t>Heart failure, NYHA Class II or III</t>
  </si>
  <si>
    <t>SR0644-000</t>
  </si>
  <si>
    <t>Novartis Pharma Inc.</t>
  </si>
  <si>
    <t>human insulin</t>
  </si>
  <si>
    <t>Diabetes mellitus</t>
  </si>
  <si>
    <t>SR0672-000</t>
  </si>
  <si>
    <t>Vedolizumab</t>
  </si>
  <si>
    <t>Crohn's disease</t>
  </si>
  <si>
    <t>SR0487-000</t>
  </si>
  <si>
    <t>vedolizumab</t>
  </si>
  <si>
    <t>SR0635-000</t>
  </si>
  <si>
    <t>Crohn’s disease</t>
  </si>
  <si>
    <t>SR0647-000</t>
  </si>
  <si>
    <t>Ulcerative colitis</t>
  </si>
  <si>
    <t>SR0421-000</t>
  </si>
  <si>
    <t>Sofosbuvir/ velpatasvir</t>
  </si>
  <si>
    <t>Hepatitis C, chronic</t>
  </si>
  <si>
    <t>SR0486-000</t>
  </si>
  <si>
    <t>Cetuximab</t>
  </si>
  <si>
    <t>PC0031-000</t>
  </si>
  <si>
    <t>2mg/ml, 100mg, 50ml single use vial</t>
  </si>
  <si>
    <t>For the treatment of EGFR-expressing K-RAS wild Type metastatic colorectal carcinoma (mCRC) in combination with FOLFIRI (Irinotecan, 5-fluorouracil, leucovorin) for first line treatment</t>
  </si>
  <si>
    <t>Bristol-Myers Squibb Canada had requested a voluntary withdrawal of the Cetuximab (Erbitux) for mCRC Submission in anticipation of new clinical information and possible resubmission. As per pCODR Procedures B3.1.6.2 b), the pCODR Provincial Advisory Group has decided to continue the review as a PAG Submission in order to obtain a final recommendation that provinces can act on if needed.</t>
  </si>
  <si>
    <t>PC0128-000</t>
  </si>
  <si>
    <t>2 mg/mL</t>
  </si>
  <si>
    <t>For the first-line treatment of RAS wild-type metastatic colorectalcarcinoma (mCRC) patients with left sided primary tumours</t>
  </si>
  <si>
    <t>Rheumatoid arthritis, juvenile idiopathic arthritis, ankylosing spondylitis</t>
  </si>
  <si>
    <t>SE0513-000</t>
  </si>
  <si>
    <t>Sandoz Canada Inc.</t>
  </si>
  <si>
    <t>Vismodegib</t>
  </si>
  <si>
    <t>Basal Cell Carcinoma</t>
  </si>
  <si>
    <t>PC0015-000</t>
  </si>
  <si>
    <t>For the treatment of adult patients with histologically confirmed metastatic basal cell carcinoma or with locally advanced basal cell carcinoma inappropriate for surgery or radiotherapy</t>
  </si>
  <si>
    <t>Apalutamide</t>
  </si>
  <si>
    <t>non-metastatic castrate resistant prostate cancer (nm-CRPC)</t>
  </si>
  <si>
    <t>PC0133-000</t>
  </si>
  <si>
    <t>60 mg</t>
  </si>
  <si>
    <t>metastatic castration-sensitive prostate cancer (mCSPC)</t>
  </si>
  <si>
    <t>PC0200-000</t>
  </si>
  <si>
    <t>For the treatment of metastatic castration-sensitive prostate cancer (mCSPC)</t>
  </si>
  <si>
    <t>Pirfenidone</t>
  </si>
  <si>
    <t>Idiopathic pulmonary fibrosis</t>
  </si>
  <si>
    <t>SR0393-000</t>
  </si>
  <si>
    <t>Hoffmann-La Roche Ltd.</t>
  </si>
  <si>
    <t>SR0292-000</t>
  </si>
  <si>
    <t>InterMune Canada Inc.</t>
  </si>
  <si>
    <t>crisaborole</t>
  </si>
  <si>
    <t>SR0570-000</t>
  </si>
  <si>
    <t>romosozumab</t>
  </si>
  <si>
    <t>SR0676-000</t>
  </si>
  <si>
    <t>Norgelestromin/ethinyl estradiol</t>
  </si>
  <si>
    <t>Contraceptive, patch</t>
  </si>
  <si>
    <t>SR0004-000</t>
  </si>
  <si>
    <t>risdiplam</t>
  </si>
  <si>
    <t>Spinal muscular atrophy</t>
  </si>
  <si>
    <t>SR0661-000</t>
  </si>
  <si>
    <t>Hoffmann La-Roche Ltd.</t>
  </si>
  <si>
    <t>Rivastigmine</t>
  </si>
  <si>
    <t>Dementia (Alzheimer's type)</t>
  </si>
  <si>
    <t>SR0123-000</t>
  </si>
  <si>
    <t>Deferasirox</t>
  </si>
  <si>
    <t>Iron overload</t>
  </si>
  <si>
    <t>SR0081-000</t>
  </si>
  <si>
    <t>Aflibercept</t>
  </si>
  <si>
    <t>SR0361-000</t>
  </si>
  <si>
    <t>Bayer Canada Inc.</t>
  </si>
  <si>
    <t>Macular edema, diabetic</t>
  </si>
  <si>
    <t>SR0396-000</t>
  </si>
  <si>
    <t>Macular edema, central retinal vein occlusion</t>
  </si>
  <si>
    <t>SR0401-000</t>
  </si>
  <si>
    <t>Macular edema, branch retinal vein occlusion</t>
  </si>
  <si>
    <t>SR0460-000</t>
  </si>
  <si>
    <t>Agalsidase beta</t>
  </si>
  <si>
    <t>Fabry Disease</t>
  </si>
  <si>
    <t>SR0007-000</t>
  </si>
  <si>
    <t>SR0028-000</t>
  </si>
  <si>
    <t>Fampridine</t>
  </si>
  <si>
    <t>Multiple sclerosis, improve walking disability</t>
  </si>
  <si>
    <t>SR0275-000</t>
  </si>
  <si>
    <t>SR0404-000</t>
  </si>
  <si>
    <t>benralizumab</t>
  </si>
  <si>
    <t>Asthma, severe eosinophilic</t>
  </si>
  <si>
    <t>SR0561-000</t>
  </si>
  <si>
    <t>SF0592-000</t>
  </si>
  <si>
    <t>Fulvestrant</t>
  </si>
  <si>
    <t>Locally advanced or metastatic breast cancer</t>
  </si>
  <si>
    <t>PC0110-000</t>
  </si>
  <si>
    <t>50 mg/mL</t>
  </si>
  <si>
    <t>For hormonal treatment of non-visceral locally advanced or metastatic HER2- breast cancer in postmenopausal women, regardless of age, who have not been previously treated with endocrine therapy</t>
  </si>
  <si>
    <t>Fentanyl buccal</t>
  </si>
  <si>
    <t>Pain (breakthrough), cancer (adults)</t>
  </si>
  <si>
    <t>SR0494-000</t>
  </si>
  <si>
    <t>Deferiprone</t>
  </si>
  <si>
    <t>Transfusional iron overload</t>
  </si>
  <si>
    <t>SR0448-000</t>
  </si>
  <si>
    <t>ApoPharma Inc.</t>
  </si>
  <si>
    <t>ulipristal acetate</t>
  </si>
  <si>
    <t>Uterine fibroids (signs and symptoms)</t>
  </si>
  <si>
    <t>SF0528-000</t>
  </si>
  <si>
    <t>SF0609-000</t>
  </si>
  <si>
    <t>Ulipristal acetate</t>
  </si>
  <si>
    <t>Uterine fibroids</t>
  </si>
  <si>
    <t>SR0326-000</t>
  </si>
  <si>
    <t>Azelaic acid</t>
  </si>
  <si>
    <t>SR0209-000</t>
  </si>
  <si>
    <t>Icatibant</t>
  </si>
  <si>
    <t>Hereditary angioedema</t>
  </si>
  <si>
    <t>SR0375-000</t>
  </si>
  <si>
    <t>Shire Human Genetic Therapies (Canada) Inc.</t>
  </si>
  <si>
    <t>icatibant</t>
  </si>
  <si>
    <t>Pralatrexate</t>
  </si>
  <si>
    <t>Peripheral T-Cell Lymphoma (PTCL)</t>
  </si>
  <si>
    <t>PC0138-000</t>
  </si>
  <si>
    <t>20 mg/1 mL &amp; 40 mg/2 mL</t>
  </si>
  <si>
    <t>for the treatment of patients with relapsed or refractory PTCL</t>
  </si>
  <si>
    <t>The timeline of the review was temporarily stopped, pending receipt of the additional information. The timeline of the review has resumed as the additional information has now been provided.</t>
  </si>
  <si>
    <t>Teriparatide (rDNA origin) injection</t>
  </si>
  <si>
    <t>SR0169-000</t>
  </si>
  <si>
    <t>SR0065-000</t>
  </si>
  <si>
    <t>SR0015-000</t>
  </si>
  <si>
    <t>Osteoporosis, glucocorticoid induced</t>
  </si>
  <si>
    <t>SR0152-000</t>
  </si>
  <si>
    <t>SR0157-000</t>
  </si>
  <si>
    <t>Osteoporosis (in women), Severe</t>
  </si>
  <si>
    <t>SR0180-000</t>
  </si>
  <si>
    <t>Dapagliflozin</t>
  </si>
  <si>
    <t>SR0428-000</t>
  </si>
  <si>
    <t>SR0445-000</t>
  </si>
  <si>
    <t>dapagliflozin</t>
  </si>
  <si>
    <t>Heart failure with reduced ejection fraction</t>
  </si>
  <si>
    <t>SR0642-000</t>
  </si>
  <si>
    <t>Alendronate sodium/cholecalciferol</t>
  </si>
  <si>
    <t>SR0059-000</t>
  </si>
  <si>
    <t>Merck Frosst Canda Ltd.</t>
  </si>
  <si>
    <t>Alendronate sodium / cholecalciferol</t>
  </si>
  <si>
    <t>SR0153-000</t>
  </si>
  <si>
    <t>Lanthanum carbonate hydrate</t>
  </si>
  <si>
    <t>Hyperphosphatemia, end-stage renal disease</t>
  </si>
  <si>
    <t>SR0100-000</t>
  </si>
  <si>
    <t>pegfilgrastim</t>
  </si>
  <si>
    <t>Febrile neutropenia in non-myeloid malignancies</t>
  </si>
  <si>
    <t>SE0588-000</t>
  </si>
  <si>
    <t>BGP PHARMA ULC</t>
  </si>
  <si>
    <t>Perampanel</t>
  </si>
  <si>
    <t>Epilepsy, partial onset seizures</t>
  </si>
  <si>
    <t>SR0316-000</t>
  </si>
  <si>
    <t>Epilepsy, primary generalized tonic-clonic seizures</t>
  </si>
  <si>
    <t>SR0458-000</t>
  </si>
  <si>
    <t>migalastat</t>
  </si>
  <si>
    <t>SR0522-000</t>
  </si>
  <si>
    <t>Amicus Therapeutics</t>
  </si>
  <si>
    <t>Simeprevir</t>
  </si>
  <si>
    <t>SR0347-000</t>
  </si>
  <si>
    <t>Obinutuzumab</t>
  </si>
  <si>
    <t>PC0041-000</t>
  </si>
  <si>
    <t>1000 mg/ vial</t>
  </si>
  <si>
    <t>In combination with chlorambucil for previously untreated chronic lymphocytic leukemia where fludarabine-based therapy is considered inappropriate</t>
  </si>
  <si>
    <t>The Manufacturer had advised that Category 2 submission requirements for a pre-NOC submission will not be available to complete the submission for a November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</si>
  <si>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Follicular Lymphoma</t>
  </si>
  <si>
    <t>PC0091-000</t>
  </si>
  <si>
    <t>1000 mg vial</t>
  </si>
  <si>
    <t>In combination with chemotherapy followed by obinutuzumab monotherapy for the treatment of follicular lymphoma who have relapsed after or are refractory to a rituximab containing regimen</t>
  </si>
  <si>
    <t>Follicular Lymphoma (previously untreated)</t>
  </si>
  <si>
    <t>PC0126-000</t>
  </si>
  <si>
    <t>For the treatment of patients with previously untreated stage II bulky (&gt;7cm), III or IV follicular lymphoma (FL)</t>
  </si>
  <si>
    <t>Oxybutynin Chloride Gel</t>
  </si>
  <si>
    <t>Overactive bladder</t>
  </si>
  <si>
    <t>SR0260-000</t>
  </si>
  <si>
    <t>Watson Pharma Company</t>
  </si>
  <si>
    <t>Somatropin</t>
  </si>
  <si>
    <t>Growth hormone deficiency, children</t>
  </si>
  <si>
    <t>SR0333-000</t>
  </si>
  <si>
    <t>Turner Syndrome</t>
  </si>
  <si>
    <t>SR0334-000</t>
  </si>
  <si>
    <t>Growth hormone deficiency, adult</t>
  </si>
  <si>
    <t>SR0332-000</t>
  </si>
  <si>
    <t>Elvitegravir/cobicistat/emtricitabine/tenofovir alafenamide</t>
  </si>
  <si>
    <t>SR0449-000</t>
  </si>
  <si>
    <t>Fingolimod</t>
  </si>
  <si>
    <t>Multiple Sclerosis, relapsing-remitting</t>
  </si>
  <si>
    <t>SR0228-000</t>
  </si>
  <si>
    <t>Afatinib</t>
  </si>
  <si>
    <t>Advanced or Metastatic Non-Small Cell Lung Cancer</t>
  </si>
  <si>
    <t>PC0032-000</t>
  </si>
  <si>
    <t>20mg, 30mg, and 40mg tablets</t>
  </si>
  <si>
    <t>For the first line treatment of EGFR Mutation Positive, Advanced Non-Small Cell Lung Cancer patients</t>
  </si>
  <si>
    <t>Boehringer Ingelheim Canada Ltd.</t>
  </si>
  <si>
    <t>A delay in the receipt of Category 2 Part 2 requirements has impacted the review timeline.</t>
  </si>
  <si>
    <t>givosiran</t>
  </si>
  <si>
    <t>Acute hepatic porphyria (AHP) in adults</t>
  </si>
  <si>
    <t>SR0679-000</t>
  </si>
  <si>
    <t>Alnylam Netherlands B.V.</t>
  </si>
  <si>
    <t>Relapsing Remitting Multiple Sclerosis (RRMS)</t>
  </si>
  <si>
    <t>SE0510-000</t>
  </si>
  <si>
    <t>Pendopharm</t>
  </si>
  <si>
    <t>Phleum pratense</t>
  </si>
  <si>
    <t>Allergic rhinitis</t>
  </si>
  <si>
    <t>SR0352-000</t>
  </si>
  <si>
    <t>Filgrastim</t>
  </si>
  <si>
    <t>Neutropenia</t>
  </si>
  <si>
    <t>SE0446-000</t>
  </si>
  <si>
    <t>Apotex Inc.</t>
  </si>
  <si>
    <t>Butoconazole nitrate</t>
  </si>
  <si>
    <t>Vaginal infection</t>
  </si>
  <si>
    <t>SR0017-000</t>
  </si>
  <si>
    <t>Ferring Pharmaceuticals</t>
  </si>
  <si>
    <t>Eribulin Mesylate</t>
  </si>
  <si>
    <t>Metastatic Breast Cancer</t>
  </si>
  <si>
    <t>PC0005-000</t>
  </si>
  <si>
    <t>1mg per 2 mL vial</t>
  </si>
  <si>
    <t>For the treatment of patients with metastatic breast cancer who have previously received at least two chemotherapeutic regimens for the treatment of metastatic disease. Prior therapy should have included an anthracycline and a taxane administered in either the adjuvant or metastatic setting.</t>
  </si>
  <si>
    <t>ledipasvir, sofosbuvir</t>
  </si>
  <si>
    <t>SF0465-000</t>
  </si>
  <si>
    <t>Ledipasvir / Sofosbuvir</t>
  </si>
  <si>
    <t>SR0395-000</t>
  </si>
  <si>
    <t>Propranolol</t>
  </si>
  <si>
    <t>Infantile hemangioma</t>
  </si>
  <si>
    <t>SR0411-000</t>
  </si>
  <si>
    <t>Pierre Fabre Dermo-Cosmétique Canada Inc.</t>
  </si>
  <si>
    <t>Propranolol oral solution</t>
  </si>
  <si>
    <t>SR0496-000</t>
  </si>
  <si>
    <t>Pierre Fabre Dermo-Cosmétique</t>
  </si>
  <si>
    <t>emicizumab</t>
  </si>
  <si>
    <t>Bleeding prevention, hemophilia A</t>
  </si>
  <si>
    <t>ST0651-000</t>
  </si>
  <si>
    <t>Adefovir dipivoxil</t>
  </si>
  <si>
    <t>Hepatitis B</t>
  </si>
  <si>
    <t>SR0060-000</t>
  </si>
  <si>
    <t>SF0103-000</t>
  </si>
  <si>
    <t>gilead Sciences Canada Inc.</t>
  </si>
  <si>
    <t>Ombitasvir/paritaprevir/ritonavir and dasabuvir</t>
  </si>
  <si>
    <t>SR0406-000</t>
  </si>
  <si>
    <t>ombitasvir/paritaprevir/ritonavir and dasabuvir</t>
  </si>
  <si>
    <t>SF0466-000</t>
  </si>
  <si>
    <t>Adalimumab</t>
  </si>
  <si>
    <t>Ankylosing spondylitis (AS)</t>
  </si>
  <si>
    <t>SR0087-000</t>
  </si>
  <si>
    <t>Abbott Laboratories, Limited</t>
  </si>
  <si>
    <t>SR0022-000</t>
  </si>
  <si>
    <t>Abbott Laboratories Limited</t>
  </si>
  <si>
    <t>Arthritis, Psoriatic</t>
  </si>
  <si>
    <t>SR0066-000</t>
  </si>
  <si>
    <t>SR0308-000</t>
  </si>
  <si>
    <t>SR0105-000</t>
  </si>
  <si>
    <t>Psoriasis</t>
  </si>
  <si>
    <t>SR0130-000</t>
  </si>
  <si>
    <t>ulcerative colitis</t>
  </si>
  <si>
    <t>SR0365-000</t>
  </si>
  <si>
    <t>AbbVie</t>
  </si>
  <si>
    <t>SR0450-000</t>
  </si>
  <si>
    <t>Hidradenitis suppurativa</t>
  </si>
  <si>
    <t>SR0455-000</t>
  </si>
  <si>
    <t>Palbociclib</t>
  </si>
  <si>
    <t>PC0068-000</t>
  </si>
  <si>
    <t>75mg, 100mg and 125mg Capsules</t>
  </si>
  <si>
    <t>In combination with letrozole, for the treatment of postmenopausal women with estrogen receptor (ER)-positive, human epidermal growth factor receptor 2 (HER2)-negative advanced breast cancer as initial endocrine-based therapy for their metastatic  disease</t>
  </si>
  <si>
    <t>In accordance with the pCODR Procedures, the pCODR program has suspended all work on this original Submission. The manufacturer, Pfizer Canada Inc. has resubmitted to pCODR for palbociclib (Ibrance) for advanced breast cancer with new information before a Final Recommendation has been issued.  Please see the palbociclib (Ibrance) for advanced breast cancer Resubmission Details page for more information.</t>
  </si>
  <si>
    <t>Advanced breast cancer</t>
  </si>
  <si>
    <t>PC0093-000</t>
  </si>
  <si>
    <t>Palbociclib (with Fulvestrant)</t>
  </si>
  <si>
    <t>Palbociclib (Ibrance) in combination with fulvestrant for hormone receptor (HR)-positive, human epidermal growth factor receptor 2 (HER2)-negative locally advanced or metastatic breast cancer</t>
  </si>
  <si>
    <t>PC0150-000</t>
  </si>
  <si>
    <t>75 mg, 100 mg &amp; 125 mg</t>
  </si>
  <si>
    <t>In combination with fulvestrant for the treatment of women with hormone receptor (HR)-positive, human epidermal growth factor receptor 2 (HER2)-negative locally advanced or metastatic breast cancer whose disease progressed after prior endocrine therapy, Pre- or perimenopausal women must also be treated with a luteinizing hormone releasing hormone (LHRH) agonist</t>
  </si>
  <si>
    <t>Ponatinib</t>
  </si>
  <si>
    <t>Chronic Myeloid Leukemia/ Acute Lymphoblastic Leukemia</t>
  </si>
  <si>
    <t>PC0056 -000</t>
  </si>
  <si>
    <t>15 mg and 45 mg tablets</t>
  </si>
  <si>
    <t>For the treatment of adult patients with chronic phase, accelerated phase, or blast phase chronic myeloid leukemia (CML) or Philadelphia chromosome positive acute lymphoblastic leukemia (Ph+ ALL) for whom other tyrosine kinase inhibitor (TKI) therapy is not appropriate, including CML or Ph+ ALL that is T315I mutation positive or where there is prior TKI resistance or intolerance.</t>
  </si>
  <si>
    <t>ARIAD Pharmaceuticals, Inc.</t>
  </si>
  <si>
    <t>Due to the number of items for deliberation, the pERC meeting was conducted over two days. pERC held deliberations for reconsideration items, including ponatinib, on September 18, 2015.</t>
  </si>
  <si>
    <t>Enasidenib</t>
  </si>
  <si>
    <t>Acute myeloid leukemia (AML)</t>
  </si>
  <si>
    <t>PC0144-000</t>
  </si>
  <si>
    <t>50 mg and 100 mg</t>
  </si>
  <si>
    <t>For the treatment of adult patients with relapsed or refractory (R/R) acute myeloid leukemia (AML) with an isocitrate dehydrogenase-2 (IDH2) mutation</t>
  </si>
  <si>
    <t>cyclosporine</t>
  </si>
  <si>
    <t>keratitis, severe</t>
  </si>
  <si>
    <t>SR0518-000</t>
  </si>
  <si>
    <t>Santen Canada Incorporated</t>
  </si>
  <si>
    <t>Canakinumab</t>
  </si>
  <si>
    <t>Systemic Juvenile Idiopathic Arthritis</t>
  </si>
  <si>
    <t>SR0463-000</t>
  </si>
  <si>
    <t>Novartis Pharmaceuticals Inc.</t>
  </si>
  <si>
    <t>Cryopyrin-Associated Periodic Syndrome</t>
  </si>
  <si>
    <t>SR0204-000</t>
  </si>
  <si>
    <t>tildrakizumab</t>
  </si>
  <si>
    <t>SR0624-000</t>
  </si>
  <si>
    <t>Sun Pharma Canada</t>
  </si>
  <si>
    <t>fluocinolone acetonide intravitreal implant</t>
  </si>
  <si>
    <t>diabetic macular edema</t>
  </si>
  <si>
    <t>SR0608-000</t>
  </si>
  <si>
    <t>fluocinolone acetonide</t>
  </si>
  <si>
    <t>Diabetic macular edema (DME)</t>
  </si>
  <si>
    <t>SR0549-000</t>
  </si>
  <si>
    <t>ibrutinib</t>
  </si>
  <si>
    <t>Ibrutinib</t>
  </si>
  <si>
    <t>Waldenstrom's Macroglobulinemia</t>
  </si>
  <si>
    <t>PC0082-000</t>
  </si>
  <si>
    <t>140mg Capsules</t>
  </si>
  <si>
    <t>For the treatment of patients with Waldenström’s Macroglobulinemia who have received at least one prior therapy</t>
  </si>
  <si>
    <t>Please note that the August pERC meeting was conducted over two days. The original target date for the posting of pERC Initial Recommendation remains as  September 1, 2016.</t>
  </si>
  <si>
    <t>Chronic Lymphocytic Leukemia (previously untreated)</t>
  </si>
  <si>
    <t>PC0085-000</t>
  </si>
  <si>
    <t>140 mg Capsule</t>
  </si>
  <si>
    <t>For patients with previously untreated CLL/SLL for whom fludarabine-based treatment is considered inappropriate</t>
  </si>
  <si>
    <t>Chronic Lymphocytic Leukemia/ Small Lymphocytic Lymphoma</t>
  </si>
  <si>
    <t>PC0043-000</t>
  </si>
  <si>
    <t>140 mg capsule</t>
  </si>
  <si>
    <t>For the treatment of patients with CLL/SLL with or without deletion 17p who have received at least one prior therapy and are not considered appropriate for treatment or re-treatment with a purine analog (e.g., fludarabine)</t>
  </si>
  <si>
    <t>Mantle Cell Lymphoma (relapsed/refractory)</t>
  </si>
  <si>
    <t>PC0073-000</t>
  </si>
  <si>
    <t>For the treatment of patients with relapsed/refractory mantle cell lymphoma (MCL)</t>
  </si>
  <si>
    <t>durvalumab</t>
  </si>
  <si>
    <t>Extensive-stage small cell lung cancer</t>
  </si>
  <si>
    <t>PC0234-000</t>
  </si>
  <si>
    <t>Durvalumab</t>
  </si>
  <si>
    <t>Unresectable Non-Small Cell Lung Cancer (NSCLC)</t>
  </si>
  <si>
    <t>PC0131-000</t>
  </si>
  <si>
    <t>For the treatment of patients with locally advanced, unresectable non-small cell lung cancer (NSCLC) following curative intent platinum-based chemoradiation therapy, for up to a maximum of 12 months</t>
  </si>
  <si>
    <t>AstraZeneca Canada</t>
  </si>
  <si>
    <t>estradiol</t>
  </si>
  <si>
    <t>Dyspareunia</t>
  </si>
  <si>
    <t>SR0694-000</t>
  </si>
  <si>
    <t>Telaprevir</t>
  </si>
  <si>
    <t>SF0305-000</t>
  </si>
  <si>
    <t>Vertex Pharmaceuticals Canada Inc.</t>
  </si>
  <si>
    <t>SR0249-000</t>
  </si>
  <si>
    <t>Vertex Pharmaceuticals Inc.</t>
  </si>
  <si>
    <t>SF0311-000</t>
  </si>
  <si>
    <t>mecasermin</t>
  </si>
  <si>
    <t>Severe primary insulin-like growth factor-1 deficiency</t>
  </si>
  <si>
    <t>SR0692-000</t>
  </si>
  <si>
    <t>Ipsen Biopharmaceuticals Canada, Inc.</t>
  </si>
  <si>
    <t>Umeclidinium</t>
  </si>
  <si>
    <t>SR0422-000</t>
  </si>
  <si>
    <t>Infliximab</t>
  </si>
  <si>
    <t>Ankylosing spondylitis; arthritis, psoriatic; arthritis, rheumatoid; plaque psoriasis</t>
  </si>
  <si>
    <t>SE0384-000</t>
  </si>
  <si>
    <t>Hospira Healthcare Corporation</t>
  </si>
  <si>
    <t>Crohn’s disease and Ulcerative Colitis</t>
  </si>
  <si>
    <t>SE0483-000</t>
  </si>
  <si>
    <t>Hospira HealthCare Corporation, a Pfizer Company</t>
  </si>
  <si>
    <t>Axitinib</t>
  </si>
  <si>
    <t>Metastatic Renal Cell Carcinoma</t>
  </si>
  <si>
    <t>PC0013-000</t>
  </si>
  <si>
    <t>1mg and 5mg</t>
  </si>
  <si>
    <t>For the treatment of patients with metastatic renal cell carcinoma (RCC) of clear histology after failure of prior systemic therapy with either a cytokine or the VEGFR-TKI, sunitinib</t>
  </si>
  <si>
    <t>PA0001-000</t>
  </si>
  <si>
    <t>Please note that the June pERC meeting was conducted over two days. The target  for the posting of pERC Initial Recommendation remains as June 29, 2017.</t>
  </si>
  <si>
    <t>Decitabine-Cedazuridine</t>
  </si>
  <si>
    <t>PC0228-000</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</si>
  <si>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</si>
  <si>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Taiho Pharma Canada, Inc.</t>
  </si>
  <si>
    <t>fedratinib</t>
  </si>
  <si>
    <t>Myelofibrosis</t>
  </si>
  <si>
    <t>PC0205-000</t>
  </si>
  <si>
    <t>Celgene Inc., a Bristol Myers Squibb Company</t>
  </si>
  <si>
    <t>Tiotropium / olodaterol</t>
  </si>
  <si>
    <t>SR0436-000</t>
  </si>
  <si>
    <t>Boehringer Ingelheim (Canada) Ltd.</t>
  </si>
  <si>
    <t>Eplerenone</t>
  </si>
  <si>
    <t>Post myocardial infarction</t>
  </si>
  <si>
    <t>SR0165-000</t>
  </si>
  <si>
    <t>Heart failure, NYHA class II</t>
  </si>
  <si>
    <t>SR0342-000</t>
  </si>
  <si>
    <t>Etravirine</t>
  </si>
  <si>
    <t>SR0129-000</t>
  </si>
  <si>
    <t>prasterone</t>
  </si>
  <si>
    <t>Postmenopausal vulvovaginal atrophy</t>
  </si>
  <si>
    <t>SR0707-000</t>
  </si>
  <si>
    <t>Lupin Pharma Canada Ltd.</t>
  </si>
  <si>
    <t>Guanfacine hydrochloride</t>
  </si>
  <si>
    <t>Attention-deficit/hyperactivity disorder (ADHD)</t>
  </si>
  <si>
    <t>SR0349-000</t>
  </si>
  <si>
    <t>Paliperidone</t>
  </si>
  <si>
    <t>SR0112-000</t>
  </si>
  <si>
    <t>Paliperidone palmitate</t>
  </si>
  <si>
    <t>SR0206-000</t>
  </si>
  <si>
    <t>Canagliflozin and metformin hydrochloride</t>
  </si>
  <si>
    <t>diabetes mellitus, type 2</t>
  </si>
  <si>
    <t>SR0480-000</t>
  </si>
  <si>
    <t>Canagliflozin</t>
  </si>
  <si>
    <t>Diabetes Mellitus, Type 2</t>
  </si>
  <si>
    <t>SR0335-000</t>
  </si>
  <si>
    <t>SR0370-000</t>
  </si>
  <si>
    <t>Gefitinib</t>
  </si>
  <si>
    <t>Cancer, Lung , non-small cell</t>
  </si>
  <si>
    <t>SR0003-000</t>
  </si>
  <si>
    <t>AstraZeneca</t>
  </si>
  <si>
    <t>Raltegravir</t>
  </si>
  <si>
    <t>HIV (treatment naïve)</t>
  </si>
  <si>
    <t>SR0191-000</t>
  </si>
  <si>
    <t>SR0115-000</t>
  </si>
  <si>
    <t>Romidepsin</t>
  </si>
  <si>
    <t>Peripheral T-Cell Lymphoma</t>
  </si>
  <si>
    <t>PC0048-000</t>
  </si>
  <si>
    <t>10 mg per vial</t>
  </si>
  <si>
    <t>For patients with relapsed/refractory peripheral T-cell lymphoma (PTCL) who are not eligible for transplant and have received at least one prior systemic therapy</t>
  </si>
  <si>
    <t>travoprost ophthalmic solution</t>
  </si>
  <si>
    <t>SR0516-000</t>
  </si>
  <si>
    <t>ruxolitinib</t>
  </si>
  <si>
    <t>Graft versus host disease</t>
  </si>
  <si>
    <t>SR0688-000</t>
  </si>
  <si>
    <t>Ruxolitinib</t>
  </si>
  <si>
    <t>PC0012-000</t>
  </si>
  <si>
    <t>5mg, 15mg, and 20mg</t>
  </si>
  <si>
    <t>For the treatment of patients with myelofibrosis, including primary myelofibrosis, post-polycythemia vera myelofibrosis or post-essential thrombocythemia myelofibrosis.</t>
  </si>
  <si>
    <t>Polycythemia vera</t>
  </si>
  <si>
    <t>PC0065-000</t>
  </si>
  <si>
    <t>5 mg, 10 mg, 15 mg, 20 mg tablets</t>
  </si>
  <si>
    <t>For the treatment of adult patients with polycythemia vera who are resistant to or intolerant of hydroxyurea</t>
  </si>
  <si>
    <t>SR0706-000</t>
  </si>
  <si>
    <t>Sitagliptin phosphate monohydrate / metformin hydrochloride</t>
  </si>
  <si>
    <t>Diabetes mellitus (Type 2)</t>
  </si>
  <si>
    <t>SR0182-000</t>
  </si>
  <si>
    <t>Sitagliptin phosphate</t>
  </si>
  <si>
    <t>SR0122-000</t>
  </si>
  <si>
    <t>SR0181-000</t>
  </si>
  <si>
    <t>Empagliflozin</t>
  </si>
  <si>
    <t>SR0427-000</t>
  </si>
  <si>
    <t>Diabetes mellitus, type 2 with high cardiovascular risk</t>
  </si>
  <si>
    <t>SR0488-000</t>
  </si>
  <si>
    <t>Linagliptin-metformin</t>
  </si>
  <si>
    <t>SR0306-000</t>
  </si>
  <si>
    <t>Ocriplasmin</t>
  </si>
  <si>
    <t>Vitreomacular adhesion</t>
  </si>
  <si>
    <t>SR0337-000</t>
  </si>
  <si>
    <t>Tolvaptan</t>
  </si>
  <si>
    <t>Autosomal dominant polycystic kidney disease</t>
  </si>
  <si>
    <t>SR0435-000</t>
  </si>
  <si>
    <t>Otsuka Canada Pharmaceutical Inc.</t>
  </si>
  <si>
    <t>budesonide</t>
  </si>
  <si>
    <t>Eosinophilic esophagitis, adults</t>
  </si>
  <si>
    <t>SR0634-000</t>
  </si>
  <si>
    <t>Maintenance of Eosinophilic esophagitis in adults</t>
  </si>
  <si>
    <t>SR0666-000</t>
  </si>
  <si>
    <t>AVIR Pharma Inc</t>
  </si>
  <si>
    <t>efinaconazole</t>
  </si>
  <si>
    <t>Onychomycosis</t>
  </si>
  <si>
    <t>SR0577-000</t>
  </si>
  <si>
    <t>Dolutegravir rilpivirine</t>
  </si>
  <si>
    <t>SR0551-000</t>
  </si>
  <si>
    <t>ViiV Healthcare ULC</t>
  </si>
  <si>
    <t>Hydromorphone hydrochloride</t>
  </si>
  <si>
    <t>Pain, Chronic (moderate to severe)</t>
  </si>
  <si>
    <t>SR0190-000</t>
  </si>
  <si>
    <t>Lomitapide</t>
  </si>
  <si>
    <t>Hypercholesterolemia, homozygous familial</t>
  </si>
  <si>
    <t>SR0386-000</t>
  </si>
  <si>
    <t>Aegerion Pharmaceuticals (Canada) Ltd.</t>
  </si>
  <si>
    <t>Trastuzumab Emtansine</t>
  </si>
  <si>
    <t>Early Breast Cancer (EBC)</t>
  </si>
  <si>
    <t>PC0182-000</t>
  </si>
  <si>
    <t>100 mg and 160 mg vial</t>
  </si>
  <si>
    <t>For the adjuvant treatment of patients with HER2-positive early breast cancer, who have residual disease, after pre-operative systemic treatment. KADCYLA should be continued for 14 cycles or until disease progression or unacceptable toxicity. If KADCYLA is discontinued in the event of toxicity, treatment with trastuzumab may be continued to complete one year of HER2-directed therapy.</t>
  </si>
  <si>
    <t>Trastuzumab emtansine</t>
  </si>
  <si>
    <t>Advanced or Metastatic Breast Cancer</t>
  </si>
  <si>
    <t>PC0024-000</t>
  </si>
  <si>
    <t>100mg and 160 mg vial</t>
  </si>
  <si>
    <t>The treatment of patients with HER2-positive, unresectable locally advanced or metastatic breast cancer who have received prior treatment with trastuzumab and a taxane</t>
  </si>
  <si>
    <t>Ivacaftor</t>
  </si>
  <si>
    <t>Cystic Fibrosis, CFTR gating mutations</t>
  </si>
  <si>
    <t>SR0379-000</t>
  </si>
  <si>
    <t>Vertex Pharmaceuticals Canada</t>
  </si>
  <si>
    <t>Cystic fibrosis, G551D mutation</t>
  </si>
  <si>
    <t>SR0291-000</t>
  </si>
  <si>
    <t>Vertex Pharmaceuticals  Inc.</t>
  </si>
  <si>
    <t>Cystic fibrosis, R117H CFTR gating mutation</t>
  </si>
  <si>
    <t>SR0430-000</t>
  </si>
  <si>
    <t>Vertex Pharmaceuticals (Canada) Incorporated</t>
  </si>
  <si>
    <t>sebelipase alfa</t>
  </si>
  <si>
    <t>Lysosomal acid lipase deficiency</t>
  </si>
  <si>
    <t>SR0544-000</t>
  </si>
  <si>
    <t>Alexion Pharmaceuticals</t>
  </si>
  <si>
    <t>Alogliptin plus metformin</t>
  </si>
  <si>
    <t>SR0367-000</t>
  </si>
  <si>
    <t>ofatumumab</t>
  </si>
  <si>
    <t>Multiple Sclerosis, relapsing</t>
  </si>
  <si>
    <t>SR0657-000</t>
  </si>
  <si>
    <t>sarilumab</t>
  </si>
  <si>
    <t>SR0503-000</t>
  </si>
  <si>
    <t>Pembrolizumab</t>
  </si>
  <si>
    <t>CADTH is unable to recommend reimbursement because a submission was not filed by the manufacturer.</t>
  </si>
  <si>
    <t>head and neck squamous cell carcinoma (HNSCC)</t>
  </si>
  <si>
    <t>PC0216-000</t>
  </si>
  <si>
    <t>Head and Neck</t>
  </si>
  <si>
    <t>First-line treatment of metastatic or unresectable recurrent head and neck squamous cell carcinoma (HNSCC) as monotherapy, in adult patients whose tumours have PD-L1 expression [Combined Positive Score (CPS) ≥ 1] as determined by a validated test.    First-line treatment of metastatic or unresectable recurrent head and neck squamous cell carcinoma (HNSCC) in combination with platinum and fluorouracil (FU) chemotherapy, in adult patients.</t>
  </si>
  <si>
    <t>Merck Canada</t>
  </si>
  <si>
    <t>pembrolizumab</t>
  </si>
  <si>
    <t>Classical Hodgkin lymphoma</t>
  </si>
  <si>
    <t>PC0236-000</t>
  </si>
  <si>
    <t>PC0077-000</t>
  </si>
  <si>
    <t>50mg vial</t>
  </si>
  <si>
    <t>For the treatment of patients with metastatic NSCLC whose tumours express PD-L1 (as determined by a validated test) and who have disease progression on or after platinum-containing chemotherapy. Funding is being requested for patients with a TPS (Tumour Proportion Score) of PD-L1 ≥1%.</t>
  </si>
  <si>
    <t>Esophageal carcinoma, gastroesophageal junction adenocarcinoma</t>
  </si>
  <si>
    <t>PC0250-000</t>
  </si>
  <si>
    <t>Advanced non-small cell lung carcinoma (first line)</t>
  </si>
  <si>
    <t>PC0101-000</t>
  </si>
  <si>
    <t>For previously untreated patients with metastatic NSCLC whose tumours express PD-L1 and who do not harbor a sensitizing EGFR mutation or ALK translocation. Funding is being requested for patients with a TPS (Tumour Proportion Score) of PD-L1 ≥50%.</t>
  </si>
  <si>
    <t>The Manufacturer has advised that Category 2 submission requirements for a pre-NOC submission will not be available to complete the submission for a June pERC meeting date. An updated target date for the pERC meeting has been set by pCODR, based on the anticipated timing of the manufacturer being able to provide these outstanding submission requirements.</t>
  </si>
  <si>
    <t>For locally advanced or metastatic urothelial carcinoma</t>
  </si>
  <si>
    <t>PC0117-000</t>
  </si>
  <si>
    <t>For the treatment of patients with locally advanced or metastatic urothelial carcinoma who have disease progression during or following platinum-containing chemotherapy or within 12 months of completing neoadjuvant or adjuvant platinum-containing chemotherapy</t>
  </si>
  <si>
    <t>Metastatic Melanoma</t>
  </si>
  <si>
    <t>PC0058-000</t>
  </si>
  <si>
    <t>For the treatment of patients with unresectable or metastatic melanoma</t>
  </si>
  <si>
    <t>An expanded scope of review has been granted for pembrolizumab (Keytruda).  In accordance with the pCODR Procedures, the pCODR Provincial Advisory Group (PAG) requested additional information on pembrolizumab (Keytruda) which extend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</si>
  <si>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Nonsquamous NSCLC</t>
  </si>
  <si>
    <t>PC0153-000</t>
  </si>
  <si>
    <t>25 mg/mL &amp; 50 mg/vial</t>
  </si>
  <si>
    <t>In combination with pemetrexed and platinum chemotherapy, for the treatment of metastatic non-squamous NSCLC, in adults with no EGFR or ALK genomic tumor aberrations, and no prior systemic chemotherapy treatment for metastatic NSCLC.</t>
  </si>
  <si>
    <t>Melanoma Adjuvant Treatment</t>
  </si>
  <si>
    <t>PC0168-000</t>
  </si>
  <si>
    <t>25 mg / mL and 50 mg / vial</t>
  </si>
  <si>
    <t>For adjuvant treatment of Stage III melanoma  patients following resection ; for re-treatment of patients upon loco-regional or distant recurrence more than 6 months following completed adjuvant course of KEYTRUDA®</t>
  </si>
  <si>
    <t>Colorectal cancer</t>
  </si>
  <si>
    <t>PC0235-000</t>
  </si>
  <si>
    <t>classical Hodgkin Lymphoma (cHL)</t>
  </si>
  <si>
    <t>PC0109-000</t>
  </si>
  <si>
    <t>As monotherapy is indicated for the treatment of adult patients with refractory or relapsed classical Hodgkin lymphoma (cHL) who have failed autologous stem cell transplant (ASCT) and brentuximab vedotin (BV) or who are not ASCT candidates and have failed BV</t>
  </si>
  <si>
    <t>Squamous NSCLC</t>
  </si>
  <si>
    <t>PC0176-000</t>
  </si>
  <si>
    <t>50 mg/vial &amp; 25 mg/mL</t>
  </si>
  <si>
    <t>For the treatment of patients with metastatic squamous NSCLC in combination with carboplatin and either paclitaxel or nab-paclitaxel, in adults with no prior systemic chemotherapy treatment for metastatic NSCLC</t>
  </si>
  <si>
    <t>The pCODR Expert Review Committee (pERC) Recommendation was deferred on September 19, 2019 pending additional information from the review team.</t>
  </si>
  <si>
    <t>MUC First line</t>
  </si>
  <si>
    <t>PC0177-000</t>
  </si>
  <si>
    <t>For the treatment of patients with locally advanced or metastatic urothelial carcinoma, as monotherapy, in adults who are not eligible for cisplatin-containing chemotherapy and whose tumours express PD‑L1 [Combined Positive Score (CPS) ≥10] as determined by a validated test, or in patients who are not eligible for any platinum‑containing chemotherapy regardless of PD‑L1 status</t>
  </si>
  <si>
    <t>anakinra</t>
  </si>
  <si>
    <t>Still's disease</t>
  </si>
  <si>
    <t>Suspended</t>
  </si>
  <si>
    <t>SR0662-000</t>
  </si>
  <si>
    <t>Swedish Orphan Biovitrum AB</t>
  </si>
  <si>
    <t>Ribociclib</t>
  </si>
  <si>
    <t>PC0112-000</t>
  </si>
  <si>
    <t>200 mg</t>
  </si>
  <si>
    <t>For the treatment of postmenopausal women with hormone receptor (HR)-positive, human epidermal growth factor receptor 2 (HER2)-negative advanced or metastatic breast cancer as an initial endocrine-based therapy</t>
  </si>
  <si>
    <t>HR+, HER2- advanced or metastatic breast cancer</t>
  </si>
  <si>
    <t>PC0194-000</t>
  </si>
  <si>
    <t>200mg</t>
  </si>
  <si>
    <t>In combination with an aromatase inhibitor (AI) and a luteinizing hormone releasing hormone (LHRH) agonist for the treatment of pre/peri- menopausal women with hormone receptor (HR)-positive, human epidermal growth factor receptor 2 (HER2)-negative advanced or metastatic breast cancer, as initial endocrine-based therapy</t>
  </si>
  <si>
    <t>Ribociclib with Fulvestrant</t>
  </si>
  <si>
    <t>+Fulvestrant for HR+, HER2- advanced or metastatic breast cancer</t>
  </si>
  <si>
    <t>PC0195-000</t>
  </si>
  <si>
    <t>In combination with fulvestrant for the treatment of postmenopausal women with HR-positive, HER2-negative advanced or metastatic breast cancer, as initial therapy or following disease progression on endocrine therapy</t>
  </si>
  <si>
    <t>Abacavir/lamivudine</t>
  </si>
  <si>
    <t>SR0038-000</t>
  </si>
  <si>
    <t>Saxagliptin + metformin</t>
  </si>
  <si>
    <t>Diabetes Mellitus, type 2</t>
  </si>
  <si>
    <t>SR0348-000</t>
  </si>
  <si>
    <t>SR0336-000</t>
  </si>
  <si>
    <t>Bristol-Myers Squibb / AstraZeneca Canada Inc.</t>
  </si>
  <si>
    <t>Sapropterin dihydrochloride</t>
  </si>
  <si>
    <t>Phenylketonuria (PKU)</t>
  </si>
  <si>
    <t>SR0472-000</t>
  </si>
  <si>
    <t>BioMarin Pharmaceutical (Canada) Inc.</t>
  </si>
  <si>
    <t>Phenylketonuria</t>
  </si>
  <si>
    <t>SF0236-000</t>
  </si>
  <si>
    <t>BioMarin Pharmaceutical Canada Inc.</t>
  </si>
  <si>
    <t>SR0205-000</t>
  </si>
  <si>
    <t>apomorphine hydrochloride</t>
  </si>
  <si>
    <t>Parkinson’s disease</t>
  </si>
  <si>
    <t>SR0650-000</t>
  </si>
  <si>
    <t>Parkinson’s Disease</t>
  </si>
  <si>
    <t>SR0604-000</t>
  </si>
  <si>
    <t>Carfilzomib</t>
  </si>
  <si>
    <t>Multiple Myeloma (relapsed)</t>
  </si>
  <si>
    <t>PC0084-000</t>
  </si>
  <si>
    <t>60 mg per vial</t>
  </si>
  <si>
    <t>In combination with dexamethasone alone in the treatment of patients with relapsed multiple myeloma who have received 1 to 3 prior lines of therapy</t>
  </si>
  <si>
    <t>Carfilzomib (with lenalidomide)</t>
  </si>
  <si>
    <t>PC0067-000</t>
  </si>
  <si>
    <t>60 mg vial</t>
  </si>
  <si>
    <t>In combination with lenalidomide and dexamethasone for the treatment of patients with multiple myeloma following one prior treatment failure</t>
  </si>
  <si>
    <t>The pERC Final Recommendation posted on June 21, 2016 was revised on November 11, 2016 in order to align the patient population in the pERC Recommendation with the pivotal trial (ASPIRE). The pCODR Provincial Advisory Group has been notified of this revision.</t>
  </si>
  <si>
    <t>Ivabradine</t>
  </si>
  <si>
    <t>SR0506-000</t>
  </si>
  <si>
    <t>Insulin glargine (rDNA origin)</t>
  </si>
  <si>
    <t>Diabetes mellitus, Type 1 &amp; 2</t>
  </si>
  <si>
    <t>SR0033-000</t>
  </si>
  <si>
    <t>Aventis Pharma Inc.</t>
  </si>
  <si>
    <t>SR0058-000</t>
  </si>
  <si>
    <t>SF0166-000</t>
  </si>
  <si>
    <t>Pegfilgrastim</t>
  </si>
  <si>
    <t>Febrile neutropenia</t>
  </si>
  <si>
    <t>SE0555-000</t>
  </si>
  <si>
    <t>Apobiologix</t>
  </si>
  <si>
    <t>Olaratumab</t>
  </si>
  <si>
    <t>Advanced Soft Tissue Sarcoma</t>
  </si>
  <si>
    <t>PC0111-000</t>
  </si>
  <si>
    <t>Sarcoma</t>
  </si>
  <si>
    <t>In combination with doxorubicin for the treatment of adult patients with advanced soft tissue sarcoma (STS) not amenable to curative treatment with radiotherapy or surgery and for whom treatment with an anthracycline-containing regimen is appropriate</t>
  </si>
  <si>
    <t>Lurasidone</t>
  </si>
  <si>
    <t>SR0331-000</t>
  </si>
  <si>
    <t>Sunovion Pharmaceuticals Inc.</t>
  </si>
  <si>
    <t>SR0284-000</t>
  </si>
  <si>
    <t>lurasidone</t>
  </si>
  <si>
    <t>chlormethine hydrochloride</t>
  </si>
  <si>
    <t>T-cell lymphoma</t>
  </si>
  <si>
    <t>PC0242-000</t>
  </si>
  <si>
    <t>Alemtuzumab</t>
  </si>
  <si>
    <t>SR0405-000</t>
  </si>
  <si>
    <t>Genzyme Canada, a Division of Sanofi-Aventis Canada Inc.</t>
  </si>
  <si>
    <t>SR0355-000</t>
  </si>
  <si>
    <t>Genzyme Canada, a Division of sanofi-aventis Canada Inc.</t>
  </si>
  <si>
    <t>Lenvatinib</t>
  </si>
  <si>
    <t>Differentiated Thyroid Cancer</t>
  </si>
  <si>
    <t>PC0080-000</t>
  </si>
  <si>
    <t>4mg and 10mg Capsules</t>
  </si>
  <si>
    <t>For the treatment of patients with locally recurrent or metastatic, progressive, radioactive iodine-refractory DTC</t>
  </si>
  <si>
    <t>Hepatocellular Carcinoma (HCC)</t>
  </si>
  <si>
    <t>PC0175-000</t>
  </si>
  <si>
    <t>4 mg &amp; 12 mg</t>
  </si>
  <si>
    <t>For the first-line treatment of adult patients with unresectable Hepatocellular Carcinoma (HCC)</t>
  </si>
  <si>
    <t>PC0140 -000</t>
  </si>
  <si>
    <t>4mg and 10mg</t>
  </si>
  <si>
    <t>In combination with everolimus for the treatment of patients with advanced or metastatic, clear-cell RCC following one prior VEGF-targeted therapy.</t>
  </si>
  <si>
    <t>inclisiran</t>
  </si>
  <si>
    <t>Primary hypercholesterolemia</t>
  </si>
  <si>
    <t>SR0681-000</t>
  </si>
  <si>
    <t>Insulin detemir</t>
  </si>
  <si>
    <t>Diabetes mellitus Type1, Pediatrics</t>
  </si>
  <si>
    <t>SR0172-000</t>
  </si>
  <si>
    <t>Novo Nordisk Canada Inc.</t>
  </si>
  <si>
    <t>SR0158-000</t>
  </si>
  <si>
    <t>SR0160-000</t>
  </si>
  <si>
    <t>SR0049-000</t>
  </si>
  <si>
    <t>cemiplimab</t>
  </si>
  <si>
    <t>Non-small cell lung cancer</t>
  </si>
  <si>
    <t>PC0262-000</t>
  </si>
  <si>
    <t>Sanofi Genzyme, a division of Sanofi-Aventis Canada Inc.</t>
  </si>
  <si>
    <t>Cemiplimab</t>
  </si>
  <si>
    <t>Advanced Cutaneous Squamous Cell Carcinoma (CSCC)</t>
  </si>
  <si>
    <t>PC0187-000</t>
  </si>
  <si>
    <t>50mg/mL</t>
  </si>
  <si>
    <t>For the treatment of adult patients with metastatic or locally advanced cutaneous squamous cell carcinoma who are not candidates for curative surgery or curative radiation.</t>
  </si>
  <si>
    <t>Basal cell carcinoma</t>
  </si>
  <si>
    <t>PC0260-000</t>
  </si>
  <si>
    <t>Edoxaban</t>
  </si>
  <si>
    <t>Nonvalvular atrial fibrillation, prevention of stroke and systemic embolism.</t>
  </si>
  <si>
    <t>SR0500-000</t>
  </si>
  <si>
    <t>Daiichi Sankyo, Inc.</t>
  </si>
  <si>
    <t>Venous thromboembolism, treatment and recurrence prevention.</t>
  </si>
  <si>
    <t>SR0499-000</t>
  </si>
  <si>
    <t>Colesevelam hydrochloride</t>
  </si>
  <si>
    <t>Hypercholesterolemia</t>
  </si>
  <si>
    <t>SR0274-000</t>
  </si>
  <si>
    <t>Valeant Canada LP</t>
  </si>
  <si>
    <t>sodium zirconium cyclosilicate</t>
  </si>
  <si>
    <t>Hyperkalemia, adults</t>
  </si>
  <si>
    <t>SR0612-000</t>
  </si>
  <si>
    <t>Trifluridine-Tipiracil</t>
  </si>
  <si>
    <t>Gastric Cancer</t>
  </si>
  <si>
    <t>PC0197-000</t>
  </si>
  <si>
    <t>15 mg / 6.14 mg and 20 mg / 8.19 mg</t>
  </si>
  <si>
    <t>For the treatment of adult patients with metastatic gastric cancer or adenocarcinoma of the gastroesophageal junction, who have been previously treated with at least two prior lines of chemotherapy including a fluoropyrimidine, a platinum, and either a taxane or irinotecan and if appropriate with HER2/neu-targeted therapy</t>
  </si>
  <si>
    <t>Trifluridine and Tipiracil</t>
  </si>
  <si>
    <t>mCRC Resubmission</t>
  </si>
  <si>
    <t>PC0173-000</t>
  </si>
  <si>
    <t>15 mg &amp; 20 mg</t>
  </si>
  <si>
    <t>Treatment of adult patients with mCRC who have been previously treated with, or are not candidates for, available therapies including fluoropyrimidine-, oxaliplatin- and irinotecan-based chemotherapies, anti-VEGF biological agents, and, if RAS wild-type, anti-EGFR agents</t>
  </si>
  <si>
    <t>PC0122-000</t>
  </si>
  <si>
    <t>For the treatment of adult patients with metastatic colorectal cancer who have been previously treated with, or are not considered candidates for, available therapies including fluoropyrimidine-, oxaliplatin- and irinotecan-based chemotherapies, anti-VEGF agents, and anti-EGFR agents</t>
  </si>
  <si>
    <t>Lorlatinib</t>
  </si>
  <si>
    <t>Non-Small Cell Lung Cancer (NSCLC)</t>
  </si>
  <si>
    <t>PC0183-000</t>
  </si>
  <si>
    <t>25 mg &amp; 100 mg</t>
  </si>
  <si>
    <t>For the treatment of adult patients with anaplastic lymphoma kinase (ALK)-positive metastatic non-small cell lung cancer (NSCLC) who have progressed on: crizotinib and at least one other ALK inhibitor, or patients who have progressed on ceritinib or alectinib.</t>
  </si>
  <si>
    <t>lorlatinib</t>
  </si>
  <si>
    <t>ALK-positive locally advanced or metastatic non-small cell lung</t>
  </si>
  <si>
    <t>PC0249-000</t>
  </si>
  <si>
    <t>Pfizer Canada</t>
  </si>
  <si>
    <t>Loteprednol etabonate</t>
  </si>
  <si>
    <t>Post-operative inflammation following cataract surgery</t>
  </si>
  <si>
    <t>SR0186-000</t>
  </si>
  <si>
    <t>Bausch &amp; Lomb</t>
  </si>
  <si>
    <t>Ranibizumab</t>
  </si>
  <si>
    <t>Myopic choroidal neovascularisation</t>
  </si>
  <si>
    <t>SR0373-000</t>
  </si>
  <si>
    <t>SR0253-000</t>
  </si>
  <si>
    <t>SR0098-000</t>
  </si>
  <si>
    <t>Ranibizumab injection</t>
  </si>
  <si>
    <t>Macular edema, secondary to retinal vein occlusion</t>
  </si>
  <si>
    <t>SR0276-000</t>
  </si>
  <si>
    <t>Lutetium Lu 177 dotatate</t>
  </si>
  <si>
    <t>Gastroenteropancreatic Neuroendocrine Tumors (GEP-NETs)</t>
  </si>
  <si>
    <t>PC0142-000</t>
  </si>
  <si>
    <t>370 MBq/mL</t>
  </si>
  <si>
    <t>For the treatment of somatostatin receptor-positive gastroenteropancreatic neuroendocrine tumors (GEP-NETs), including foregut, midgut, and hindgut neuroendocrine tumors in adults whose disease has progressed and is unresectable.</t>
  </si>
  <si>
    <t>Advanced Accelerator Applications</t>
  </si>
  <si>
    <t>voretigene neparvovec</t>
  </si>
  <si>
    <t>Vision loss, inherited retinal dystrophy</t>
  </si>
  <si>
    <t>SG0643-000</t>
  </si>
  <si>
    <t>Olaparib</t>
  </si>
  <si>
    <t>CADTH is unable to recommend reimbursement as a submission was not filed by the manufacturer.</t>
  </si>
  <si>
    <t>Newly Diagnosed OC</t>
  </si>
  <si>
    <t>PC0174-000</t>
  </si>
  <si>
    <t>100 mg and 150 mg</t>
  </si>
  <si>
    <t>As monotherapy for the maintenance treatment of adult patients with newly diagnosed advanced BRCA-mutated high-grade epithelial ovarian, fallopian tube or primary peritoneal cancer who are in response (complete response or partial response) to first-line platinum-based chemotherapy, until disease progression or up to 2 years if no evidence of disease. Patients must have confirmation of BRCA mutation (identified by either germline or tumour testing) before LYNPARZA treatment is initiated.</t>
  </si>
  <si>
    <t>PC0081-000</t>
  </si>
  <si>
    <t>50mg Capsule</t>
  </si>
  <si>
    <t>As monotherapy maintenance treatment of adult patients with platinum-sensitive relapsed BRCA-mutated epithelial ovarian, fallopian tube or primary peritoneal cancer who are in response to platinum-based chemotherapy</t>
  </si>
  <si>
    <t>Astra Zeneca Canada Inc</t>
  </si>
  <si>
    <t>metastatic castration-resistant prostate cancer (mCRPC)</t>
  </si>
  <si>
    <t>PC0223-000</t>
  </si>
  <si>
    <t>As monotherapy for the treatment of adult patients with mCRPC and deleterious or suspected deleterious germline and/or somatic mutations in the HRR genes BRCA or ATM who have progressed following prior treatment with a NHA.</t>
  </si>
  <si>
    <t>PC0103-000</t>
  </si>
  <si>
    <t>50 mg capsules</t>
  </si>
  <si>
    <t>Pregabalin</t>
  </si>
  <si>
    <t>Pain, Neuropathic</t>
  </si>
  <si>
    <t>SR0036-000</t>
  </si>
  <si>
    <t>diabetic peripheral neuropathy</t>
  </si>
  <si>
    <t>SR0162-000</t>
  </si>
  <si>
    <t>Pegaptanib sodium</t>
  </si>
  <si>
    <t>SR0044-000</t>
  </si>
  <si>
    <t>Trientine Hydrochloride</t>
  </si>
  <si>
    <t>Wilson's Disease</t>
  </si>
  <si>
    <t>SR0680-000</t>
  </si>
  <si>
    <t>Marcan Pharmaceuticals Inc.</t>
  </si>
  <si>
    <t>cladribine</t>
  </si>
  <si>
    <t>SR0546-000</t>
  </si>
  <si>
    <t>EMD Serono, a Division of EMD Inc., Canada</t>
  </si>
  <si>
    <t>glecaprevir pibrentasvir</t>
  </si>
  <si>
    <t>SR0523-000</t>
  </si>
  <si>
    <t>siponimod</t>
  </si>
  <si>
    <t>Secondary progressive multiple sclerosis</t>
  </si>
  <si>
    <t>SR0631-000</t>
  </si>
  <si>
    <t>nitisinone</t>
  </si>
  <si>
    <t>Hereditary tyrosinemia type 1</t>
  </si>
  <si>
    <t>SR0538-000</t>
  </si>
  <si>
    <t>MendeliKABS Inc</t>
  </si>
  <si>
    <t>Trametinib</t>
  </si>
  <si>
    <t>PC0030-000</t>
  </si>
  <si>
    <t>0.5 mg, 1.0 mg and 2.0 mg tablet</t>
  </si>
  <si>
    <t>For use as a monotherapy for the treatment of patients with unresectable or metastatic melanoma with a BRAF V600 mutation.</t>
  </si>
  <si>
    <t>Propiverine hydrochloride</t>
  </si>
  <si>
    <t>Overactive bladder (OAB)</t>
  </si>
  <si>
    <t>SR0504-000</t>
  </si>
  <si>
    <t>Duchesnay Inc.</t>
  </si>
  <si>
    <t>Mifepristone and misoprostol</t>
  </si>
  <si>
    <t>Medical termination of pregnancy (gestational age up to 49 days)</t>
  </si>
  <si>
    <t>SR0502-000</t>
  </si>
  <si>
    <t>Celopharma Inc.</t>
  </si>
  <si>
    <t>SR0473 -000</t>
  </si>
  <si>
    <t>Iron (III) Isomaltoside 1000</t>
  </si>
  <si>
    <t>iron deficiency anemia</t>
  </si>
  <si>
    <t>SR0622-000</t>
  </si>
  <si>
    <t>Pharmacosmos A/S</t>
  </si>
  <si>
    <t>latanoprost</t>
  </si>
  <si>
    <t>glaucoma and ocular hypertension</t>
  </si>
  <si>
    <t>SR0541-000</t>
  </si>
  <si>
    <t>Laboratoires Théa</t>
  </si>
  <si>
    <t>SR0527-000</t>
  </si>
  <si>
    <t>Plerixafor</t>
  </si>
  <si>
    <t>Hematopoietic stem cell mobilizer in non-Hodgkin's lymphoma and multiple myeloma</t>
  </si>
  <si>
    <t>SR0265-000</t>
  </si>
  <si>
    <t>Genzyme Canada Inc.</t>
  </si>
  <si>
    <t>Dronedarone hydrochloride</t>
  </si>
  <si>
    <t>Atrial fibrillation</t>
  </si>
  <si>
    <t>SR0177-000</t>
  </si>
  <si>
    <t>mCRC NSCLC Biosimilar</t>
  </si>
  <si>
    <t>n/a</t>
  </si>
  <si>
    <t>PC0158-000</t>
  </si>
  <si>
    <t>100 mg and 400 mg</t>
  </si>
  <si>
    <t>Gastrointestinal / Lung</t>
  </si>
  <si>
    <t>For first-line treatment of patients with metastatic carcinoma of the colon or rectum, in combination with fluoropyrimidine based chemotherapy / For treatment of patients with unresectable advanced, metastatic or recurrent non-squamous non-small cell lung cancer, in combination with carboplatin/paclitaxel chemotherapy regimen</t>
  </si>
  <si>
    <t>Mycophenolate sodium</t>
  </si>
  <si>
    <t>Organ rejection in allogeneic renal transplants, Prophylaxis</t>
  </si>
  <si>
    <t>SR0034-000</t>
  </si>
  <si>
    <t>colchicine</t>
  </si>
  <si>
    <t>Atherothrombotic events in coronary artery disease</t>
  </si>
  <si>
    <t>SR0691-000</t>
  </si>
  <si>
    <t>Pendopharm, a division of Pharmascience Inc.</t>
  </si>
  <si>
    <t>Gemtuzumab Ozogamicin</t>
  </si>
  <si>
    <t>PC0190-000</t>
  </si>
  <si>
    <t>4.5 mg/vial</t>
  </si>
  <si>
    <t>In combination therapy with daunorubicin (DNR) and cytarabine (AraC) for the treatment of adult patients with previously untreated, de novo CD33-positive acute myeloid leukemia (AML), except acute promyelocytic leukemia</t>
  </si>
  <si>
    <t>Alglucosidase</t>
  </si>
  <si>
    <t>Pompe's disease</t>
  </si>
  <si>
    <t>SR0080-000</t>
  </si>
  <si>
    <t>Mirabegron</t>
  </si>
  <si>
    <t>SR0319-000</t>
  </si>
  <si>
    <t>Astellas Pharma Canada, Inc.</t>
  </si>
  <si>
    <t>SR0363-000</t>
  </si>
  <si>
    <t>Astellas Pharma Canada Inc.</t>
  </si>
  <si>
    <t>Galsulfase (Drug Plan Submission)</t>
  </si>
  <si>
    <t>Mucopolysaccharidosis VI (Maroteaux-Lamy syndrome)</t>
  </si>
  <si>
    <t>SR0434-000</t>
  </si>
  <si>
    <t>Neratinib</t>
  </si>
  <si>
    <t>ERBB2-positive breast cancer</t>
  </si>
  <si>
    <t>PC0172-000</t>
  </si>
  <si>
    <t>40 mg</t>
  </si>
  <si>
    <t>For patients with HER2-positive, hormone receptor-positive breast (HR-positive) cancer who have completed adjuvant trastuzumab-based therapy within the past 12 months</t>
  </si>
  <si>
    <t>Alogliptin</t>
  </si>
  <si>
    <t>SR0368-000</t>
  </si>
  <si>
    <t>SR0009-000</t>
  </si>
  <si>
    <t>Rotigotine</t>
  </si>
  <si>
    <t>SR0344-000</t>
  </si>
  <si>
    <t>SR0432-000</t>
  </si>
  <si>
    <t>Sorafenib tablets</t>
  </si>
  <si>
    <t>Cancer, Renal cell carcinoma</t>
  </si>
  <si>
    <t>SR0071-000</t>
  </si>
  <si>
    <t>Sorafenib</t>
  </si>
  <si>
    <t>Metastatic Progressive Differentiated Thyroid Carcinoma (DTC)</t>
  </si>
  <si>
    <t>PC0049-000</t>
  </si>
  <si>
    <t>200 mg tablet</t>
  </si>
  <si>
    <t>Treatment of patients with locally advanced or metastatic, progressive differentiated thyroid carcinoma (DTC) refractory to radioactive iodine</t>
  </si>
  <si>
    <t>Due to the number of items for deliberation, the pERC meeting was conducted over two days. Unable to reach quorum for either day around the target reconsideration meeting date of June 18, 2015, pERC held  deliberations for all reconsideration items, including sorafenib, on July 2, 2015.</t>
  </si>
  <si>
    <t>etonogestrel</t>
  </si>
  <si>
    <t>Prevention of pregnancy</t>
  </si>
  <si>
    <t>SR0648-000</t>
  </si>
  <si>
    <t>Ixazomib</t>
  </si>
  <si>
    <t>PC0088-000</t>
  </si>
  <si>
    <t>4 mg, 3 mg, and 2.3 mg capsules</t>
  </si>
  <si>
    <t>Adult patients with multiple myeloma who have received at least one prior therapy and have high-risk cytogenetics, or have received at least two prior therapies</t>
  </si>
  <si>
    <t>Takeda Pharmaceutical Company Limited</t>
  </si>
  <si>
    <t>Multiple Myeloma (2nd-beyond)</t>
  </si>
  <si>
    <t>PC0164-000</t>
  </si>
  <si>
    <t>4 mg, 3 mg and 2.3 mg</t>
  </si>
  <si>
    <t>In combination with lenalidomide and dexamethasone for the treatment of adult patients with multiple myeloma who have received at least one prior therapy</t>
  </si>
  <si>
    <t>SR0554-000</t>
  </si>
  <si>
    <t>Cycle Pharmaceuticals Ltd.</t>
  </si>
  <si>
    <t>Quinagolide hydrochloride</t>
  </si>
  <si>
    <t>Hyperprolactinemia</t>
  </si>
  <si>
    <t>SR0046-000</t>
  </si>
  <si>
    <t>SR0026-000</t>
  </si>
  <si>
    <t>Insulin aspart/insulin aspart protamine</t>
  </si>
  <si>
    <t>SR0041-000</t>
  </si>
  <si>
    <t>Romiplostim</t>
  </si>
  <si>
    <t>Chronic immune (idiopathic) thrombocytopenic purpura (ITP)</t>
  </si>
  <si>
    <t>SR0179-000</t>
  </si>
  <si>
    <t>Darolutamide</t>
  </si>
  <si>
    <t>non-metastatic castration resistant prostate cancer (nmCRPC)</t>
  </si>
  <si>
    <t>PC0196-000</t>
  </si>
  <si>
    <t>300 mg</t>
  </si>
  <si>
    <t>In combination with androgen depravation therapy (ADT), for the treatment of patients with non-metastatic castration resistant prostate cancer who are at high risk of developing metastases (high risk defined as prostate-specific antigen doubling time ≤ 10 months) during continuous ADT, and have a good Eastern Cooperative Oncology Group (ECOG) performance status</t>
  </si>
  <si>
    <t>mepolizumab</t>
  </si>
  <si>
    <t>Eosinophilic granulomatosis with polyangiitis</t>
  </si>
  <si>
    <t>Mepolizumab</t>
  </si>
  <si>
    <t>SR0461-000</t>
  </si>
  <si>
    <t>SF0593-000</t>
  </si>
  <si>
    <t>tapentadol hydrochloride</t>
  </si>
  <si>
    <t>pain, severe</t>
  </si>
  <si>
    <t>SR0563-000</t>
  </si>
  <si>
    <t>Tapentadol</t>
  </si>
  <si>
    <t>Pain, moderate to moderately severe</t>
  </si>
  <si>
    <t>SR0224-000</t>
  </si>
  <si>
    <t>Etonogestrel/ethinyl estradiol</t>
  </si>
  <si>
    <t>Contraceptive, ring</t>
  </si>
  <si>
    <t>SR0062-000</t>
  </si>
  <si>
    <t>Organon Canada Ltd.</t>
  </si>
  <si>
    <t>Obeticholic Acid</t>
  </si>
  <si>
    <t>Primary Biliary Cholangitis</t>
  </si>
  <si>
    <t>SR0509-000</t>
  </si>
  <si>
    <t>Intercept Pharma Canada, Inc.</t>
  </si>
  <si>
    <t>ocrelizumab</t>
  </si>
  <si>
    <t>Primary progressive multiple sclerosis</t>
  </si>
  <si>
    <t>SR0542-000</t>
  </si>
  <si>
    <t>Hoffman-La Roche Limited</t>
  </si>
  <si>
    <t>multiple sclerosis, relapsing</t>
  </si>
  <si>
    <t>SR0519-000</t>
  </si>
  <si>
    <t>emtricitabine/rilpivirine/ tenofovir alafenamide</t>
  </si>
  <si>
    <t>SR0507-000</t>
  </si>
  <si>
    <t>Sonidegib</t>
  </si>
  <si>
    <t>PC0215-000</t>
  </si>
  <si>
    <t>For the treatment of adult patients with histologically confirmed locally advanced basal cell carcinoma (laBCC) that is not amenable to radiation therapy or curative surgery.</t>
  </si>
  <si>
    <t>Sun Pharma Canada Inc.</t>
  </si>
  <si>
    <t>nintedanib</t>
  </si>
  <si>
    <t>chronic fibrosing interstitial lung diseases</t>
  </si>
  <si>
    <t>SR0654-000</t>
  </si>
  <si>
    <t>Nintedanib</t>
  </si>
  <si>
    <t>SR0426-000</t>
  </si>
  <si>
    <t>Trastuzumab</t>
  </si>
  <si>
    <t>PC0169-000</t>
  </si>
  <si>
    <t>150 mg/vial and 440 mg/vial</t>
  </si>
  <si>
    <t>Breast / Gastrointestinal</t>
  </si>
  <si>
    <t>For the treatment of patients with early stage breast cancer with ECOG 0-1 status, whose tumours overexpress HER2, following surgery and after chemotherapy, following adjuvant chemotherapy consisting of doxorubicin and cyclophosphamide, in combination with paclitaxel or docetaxel, in combination with adjuvant chemotherapy consisting of docetaxel and carboplatin / the treatment of patients with MBC whose tumours overexpress HER2 / in combination with capecitabine or intravenous 5-fluorouracil and cisplatin is indicated for the treatment of patients with HER2 positive metastatic adenocarcinoma of the stomach or gastro-esophageal junction who have not received prior anti-cancer treatment for their metastatic disease</t>
  </si>
  <si>
    <t>BGP Pharma ULC</t>
  </si>
  <si>
    <t>Mylan Canada has requested a voluntary withdrawal of the pCODR 10169 submission for Ogivri.</t>
  </si>
  <si>
    <t>Olmesartan medoxomil</t>
  </si>
  <si>
    <t>SR0150-000</t>
  </si>
  <si>
    <t>Schering-Plough Canada Inc.</t>
  </si>
  <si>
    <t>Olmesartan medoxomil + hydrochlorothiazide</t>
  </si>
  <si>
    <t>SR0151-000</t>
  </si>
  <si>
    <t>baricitinib</t>
  </si>
  <si>
    <t>SR0597-000</t>
  </si>
  <si>
    <t>Ciclesonide nasal spray</t>
  </si>
  <si>
    <t>Allergic Rhinitis (seasonal and perennial)</t>
  </si>
  <si>
    <t>SR0137-000</t>
  </si>
  <si>
    <t>Somatropin (rDNA origin)</t>
  </si>
  <si>
    <t>Growth hormone deficiency in children and adults</t>
  </si>
  <si>
    <t>SR0167-000</t>
  </si>
  <si>
    <t>Indacaterol</t>
  </si>
  <si>
    <t>List in a similar manner</t>
  </si>
  <si>
    <t>SR0273-000</t>
  </si>
  <si>
    <t>Pegaspargase</t>
  </si>
  <si>
    <t>Saxagliptin</t>
  </si>
  <si>
    <t>SR0280-000</t>
  </si>
  <si>
    <t>SR0185-000</t>
  </si>
  <si>
    <t>SR0329-000</t>
  </si>
  <si>
    <t>Irinotecan Liposome</t>
  </si>
  <si>
    <t>PC0107-000</t>
  </si>
  <si>
    <t>4.3 mg/mL</t>
  </si>
  <si>
    <t>For the treatment of metastatic adenocarcinoma of the pancreas in combination with 5-fluorouracil (5-FU) and leucovorin (LV) in adult patients who have been previously treated with gemcitabine-based therapy</t>
  </si>
  <si>
    <t>Shire Canada</t>
  </si>
  <si>
    <t>As per Section 4.1.1 subsection a) of the pCODR Procedures, the timeline of the review was temporarily stopped pending rescheduling of the Checkpoint Meeting, as per the request of Shire Canada Inc.</t>
  </si>
  <si>
    <t>Nanoliposomal Irinotecan</t>
  </si>
  <si>
    <t>PC0096-000</t>
  </si>
  <si>
    <t>For second-line treatment of metastatic adenocarcinoma of the pancreas in combination with 5-fluorouracil (5-FU) and leucovorin in adult patients who have been previously treated with gemcitabine-based therapy</t>
  </si>
  <si>
    <t>Baxalta Canada Corporation</t>
  </si>
  <si>
    <t>patisiran</t>
  </si>
  <si>
    <t>Polyneuropathy in hereditary transthyretin-mediated amyloidosis</t>
  </si>
  <si>
    <t>SR0598-000</t>
  </si>
  <si>
    <t>Alnylam Netherlands BV</t>
  </si>
  <si>
    <t>Fentanyl Citrate</t>
  </si>
  <si>
    <t>SR0229-000</t>
  </si>
  <si>
    <t>Meda Valeant Pharma Canada Inc.</t>
  </si>
  <si>
    <t>SR0248-000</t>
  </si>
  <si>
    <t>safinamide</t>
  </si>
  <si>
    <t>SR0617-000</t>
  </si>
  <si>
    <t>Valeo Pharma Inc.</t>
  </si>
  <si>
    <t>azacitidine</t>
  </si>
  <si>
    <t>Acute myeloid leukemia</t>
  </si>
  <si>
    <t>PC0245-000</t>
  </si>
  <si>
    <t>Celgene Inc., a Bristol-Myers Squibb Company</t>
  </si>
  <si>
    <t>Nivolumab</t>
  </si>
  <si>
    <t>PC0063-000</t>
  </si>
  <si>
    <t>40mg/4mL and 100mg/10mL vials</t>
  </si>
  <si>
    <t>For the treatment of both first-line and previously-treated advanced adult melanoma patients, regardless of BRAF status</t>
  </si>
  <si>
    <t>An expanded scope of review has been granted for nivolumab (Opdivo).  In accordance with the pCODR Procedures, the pCODR Provincial Advisory Group (PAG) requested additional information on nivolumab (Opdivo) which extends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</si>
  <si>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Metastatic Hepatocellular Carcinoma (HCC)</t>
  </si>
  <si>
    <t>PC0134-000</t>
  </si>
  <si>
    <t>For the treatment of adult patients with advanced (not amenable to curative therapy or local therapeutic measures) or metastatic hepatocellular carcinoma who are intolerant to or have progressed on sorafenib therapy</t>
  </si>
  <si>
    <t>Melanoma Adjuvant Therapy</t>
  </si>
  <si>
    <t>PC0147-000</t>
  </si>
  <si>
    <t>40 mg &amp; 100 mg</t>
  </si>
  <si>
    <t>For the adjuvant treatment of adult patients after complete resection of melanoma with regional lymph node involvement, in transit metastases/satellites without metastatic nodes, or distant metastases</t>
  </si>
  <si>
    <t>nivolumab</t>
  </si>
  <si>
    <t>Gastroesophageal junction or esophageal adenocarcinoma</t>
  </si>
  <si>
    <t>PC0259-000</t>
  </si>
  <si>
    <t>PC0074-000</t>
  </si>
  <si>
    <t>40mg and 100mg vials</t>
  </si>
  <si>
    <t>For advanced or metastatic renal cell carcinoma in patients who have received prior systemic therapy</t>
  </si>
  <si>
    <t>Bristol Myers-Squibb Canada</t>
  </si>
  <si>
    <t>Please note that the August pERC meeting was conducted over two days. The original target date for the posting of pERC Final Recommendation remains as  September 1, 2016.</t>
  </si>
  <si>
    <t>Squamous Cell Carcinoma of Head and Neck (SCCHN)</t>
  </si>
  <si>
    <t>PC0095-000</t>
  </si>
  <si>
    <t>40mg and 100mg single-use vials</t>
  </si>
  <si>
    <t>For the treatment of recurrent or metastatic squamous cell cancer of the head and neck (SCCHN) after platinum-based therapy in adults</t>
  </si>
  <si>
    <t>classical Hodgkin Lymphoma (cHL) after failure of ASCT</t>
  </si>
  <si>
    <t>PC0120-000</t>
  </si>
  <si>
    <t>For the treatment of adult patients with classical Hodgkin Lymphoma (cHL) that has relapsed or progressed after autologous stem cell transplantation (ASCT) and brentuximab vedotin, or 3 or more lines of systemic therapy including ASCT</t>
  </si>
  <si>
    <t>Esophageal or gastroesophageal junction cancer</t>
  </si>
  <si>
    <t>PC0253-000</t>
  </si>
  <si>
    <t>Metastatic non small cell lung cancer</t>
  </si>
  <si>
    <t>PC0069-000</t>
  </si>
  <si>
    <t>For the treatment of patients with advanced or metastatic non-small cell lung cancer who progressed on or after chemotherapy</t>
  </si>
  <si>
    <t>Nivolumab in combination with Ipilimumab</t>
  </si>
  <si>
    <t>PC0218-000</t>
  </si>
  <si>
    <t>Nivolumab, in combination with ipilimumab and 2 cycles of platinum-based chemotherapy for the first-line treatment of patients with metastatic or recurrent NSCLC with no EGFR or ALK genomic tumor aberrations</t>
  </si>
  <si>
    <t>Advanced or Metastatic Renal Cell Carcinoma (RCC).</t>
  </si>
  <si>
    <t>PC0132-000</t>
  </si>
  <si>
    <t>Intermediate/poor risk patients with previously untreated, advanced or metastatic renal cell carcinoma (RCC)</t>
  </si>
  <si>
    <t>nivolumab-ipilimumab</t>
  </si>
  <si>
    <t>Malignant Pleural Mesothelioma (MPM)</t>
  </si>
  <si>
    <t>PC0229-000</t>
  </si>
  <si>
    <t>Nivolumab &amp; Ipilimumab in combo</t>
  </si>
  <si>
    <t>PC0098-000</t>
  </si>
  <si>
    <t>40 mg &amp; 100 mg single-use vials</t>
  </si>
  <si>
    <t>In combination, for treatment-naïve adult patients with advanced (unresectable or metastatic) melanoma, regardless of BRAF status</t>
  </si>
  <si>
    <t>The pCODR Expert Review Committee (pERC) Recommendation was deferred on April 20, 2017 pending additional information from the submitter. The timeline of the review has resumed as the additional information has now been provided and a new pERC date has been set by pCODR.</t>
  </si>
  <si>
    <t>Macitentan</t>
  </si>
  <si>
    <t>SR0364-000</t>
  </si>
  <si>
    <t>Actelion Pharmaceuticals Canada Inc.</t>
  </si>
  <si>
    <t>Grass Pollen Allergen Extract</t>
  </si>
  <si>
    <t>SR0290-000</t>
  </si>
  <si>
    <t>Abatacept</t>
  </si>
  <si>
    <t>SR0084-000</t>
  </si>
  <si>
    <t>SR0187-000</t>
  </si>
  <si>
    <t>Arthritis, Juvenile Idiopathic &amp; Juvenile Rheumatoid</t>
  </si>
  <si>
    <t>SR0145-000</t>
  </si>
  <si>
    <t>SR0299-000</t>
  </si>
  <si>
    <t>SR0531-000</t>
  </si>
  <si>
    <t>Sobi Canada Inc.</t>
  </si>
  <si>
    <t>elagolix</t>
  </si>
  <si>
    <t>lumacaftor/ivacaftor</t>
  </si>
  <si>
    <t>Cystic Fibrosis, F508del CFTR mutation in patients 6 years and older</t>
  </si>
  <si>
    <t>SR0559-000</t>
  </si>
  <si>
    <t>Cystic Fibrosis, F508del CFTR mutation</t>
  </si>
  <si>
    <t>SR0471-000</t>
  </si>
  <si>
    <t>Vertex Pharmaceuticals (Canada) Incorporated.</t>
  </si>
  <si>
    <t>ospemifene</t>
  </si>
  <si>
    <t>Dyspareunia, vaginal dryness</t>
  </si>
  <si>
    <t>SR0709-000</t>
  </si>
  <si>
    <t>Apremilast</t>
  </si>
  <si>
    <t>SR0400-000</t>
  </si>
  <si>
    <t>Celgene</t>
  </si>
  <si>
    <t>SR0437-000</t>
  </si>
  <si>
    <t>SR0478-000</t>
  </si>
  <si>
    <t>cenegermin</t>
  </si>
  <si>
    <t>Neurotrophic keratitis</t>
  </si>
  <si>
    <t>SR0704-000</t>
  </si>
  <si>
    <t>Dompé Farmaceutici S.p.A</t>
  </si>
  <si>
    <t>ozenoxacin</t>
  </si>
  <si>
    <t>Impetigo</t>
  </si>
  <si>
    <t>SR0553-000</t>
  </si>
  <si>
    <t>Ferrer Internacional, S.A.</t>
  </si>
  <si>
    <t>semaglutide</t>
  </si>
  <si>
    <t>SR0594-000</t>
  </si>
  <si>
    <t>Dexamethasone intravitreal implant</t>
  </si>
  <si>
    <t>SR0247-000</t>
  </si>
  <si>
    <t>Allergan</t>
  </si>
  <si>
    <t>dexamethasone</t>
  </si>
  <si>
    <t>Diabetic macular edema</t>
  </si>
  <si>
    <t>SR0535-000</t>
  </si>
  <si>
    <t>Pantoprazole magnesium</t>
  </si>
  <si>
    <t>Gastric acid secretion, reduction of</t>
  </si>
  <si>
    <t>SR0054-000</t>
  </si>
  <si>
    <t>Levetiracetam</t>
  </si>
  <si>
    <t>Epilepsy</t>
  </si>
  <si>
    <t>SR0653-000</t>
  </si>
  <si>
    <t>Peginterferon alfa-2a and Ribavirin</t>
  </si>
  <si>
    <t>SR0013-000</t>
  </si>
  <si>
    <t>pemigatinib</t>
  </si>
  <si>
    <t>Cholangiocarcinoma</t>
  </si>
  <si>
    <t>PC0252-000</t>
  </si>
  <si>
    <t>Incyte Biosciences Canada Corporation</t>
  </si>
  <si>
    <t>pertuzumab</t>
  </si>
  <si>
    <t>Early stage breast cancer</t>
  </si>
  <si>
    <t>PC0241-000</t>
  </si>
  <si>
    <t>Pertuzumab</t>
  </si>
  <si>
    <t>PC0018-000</t>
  </si>
  <si>
    <t>420 mg/vial</t>
  </si>
  <si>
    <t>In combination with trastuzumab and a taxane for the treatment of patients with HER2-positive metastatic breast cancer who have not received prior anti-HER2 therapy or chemotherapy for metastatic disease</t>
  </si>
  <si>
    <t>Pertuzumab-Trastuzumab Combo Pack</t>
  </si>
  <si>
    <t>Early Breast Cancer</t>
  </si>
  <si>
    <t>PC0127-000</t>
  </si>
  <si>
    <t>420 mg/14 mL</t>
  </si>
  <si>
    <t>For 18 cycles for the adjuvant treatment of HER2-positive early breast cancer patients at high risk of recurrence. High risk of  recurrence is defined as either node-positive or hormone receptor-negative disease</t>
  </si>
  <si>
    <t>Neoadjuvant Breast Cancer</t>
  </si>
  <si>
    <t>PC0050-000</t>
  </si>
  <si>
    <t>420 mg /vial</t>
  </si>
  <si>
    <t>In combination with trastuzumab and chemotherapy prior to surgery for the treatment of patients with HER2-positive, locally advanced, inflammatory, or early stage breast cancer (&gt;2 cm in diameter or node positive) as part of a complete treatment regimen for early stage breast cancer</t>
  </si>
  <si>
    <t>Please note that the April pERC meeting was conducted over two days. The original date for the posting of pERC Initial Recommendation remained as April 30, 2015.</t>
  </si>
  <si>
    <t>risperidone</t>
  </si>
  <si>
    <t>Schizophrenia, adults</t>
  </si>
  <si>
    <t>SR0671-000</t>
  </si>
  <si>
    <t>HLS Therapeutics Inc.</t>
  </si>
  <si>
    <t>Sodium phenylbutyrate</t>
  </si>
  <si>
    <t>Urea cycle disorders</t>
  </si>
  <si>
    <t>SR0452-000</t>
  </si>
  <si>
    <t>Médunik Canada</t>
  </si>
  <si>
    <t>Ingenol mebutate</t>
  </si>
  <si>
    <t>Actinic keratosis</t>
  </si>
  <si>
    <t>SF0382-000</t>
  </si>
  <si>
    <t>Leo Pharma Inc.</t>
  </si>
  <si>
    <t>SR0330-000</t>
  </si>
  <si>
    <t>LEO Pharma Inc.</t>
  </si>
  <si>
    <t>doravirine</t>
  </si>
  <si>
    <t>SR0582-000</t>
  </si>
  <si>
    <t>alpelisib</t>
  </si>
  <si>
    <t>PC0247-000</t>
  </si>
  <si>
    <t>Peginterferon beta-1a</t>
  </si>
  <si>
    <t>SR0440-000</t>
  </si>
  <si>
    <t>Biogen Canada Inc.</t>
  </si>
  <si>
    <t>Polatuzumab Vedotin</t>
  </si>
  <si>
    <t>Diffuse large B-cell lymphoma (DLBCL)</t>
  </si>
  <si>
    <t>PC0227-000</t>
  </si>
  <si>
    <t>Polatuzumab vedotin, in combination with bendamustine and rituximab is indicated for the treatment of adult patients with relapsed or refractory diffuse large B-cell lymphoma, not otherwise specified, who are not eligible for autologous stem cell transplant and have received at least one prior therapy.</t>
  </si>
  <si>
    <t>Pomalidomide</t>
  </si>
  <si>
    <t>PC0036-000</t>
  </si>
  <si>
    <t>1, 2, 3, 4 mg capsules</t>
  </si>
  <si>
    <t>In combination with low-dose dexamethasone for patients with multiple myeloma for whom both bortezomib and lenalidomide have failed and who have received at least two prior treatment regimens and have demonstrated disease progression on the last regimen</t>
  </si>
  <si>
    <t>PC0165-000</t>
  </si>
  <si>
    <t>1 mg, 2 mg, 3 mg &amp; 4 mg</t>
  </si>
  <si>
    <t>Pomalidomide in combination with dexamethasone and bortezomib for the treatment of adult patients with relapsed or refractory multiple myeloma who have received at least one prior treatment regimen including lenalidomide</t>
  </si>
  <si>
    <t>Dabigatran etexilate</t>
  </si>
  <si>
    <t>Thromboembolism (venous), prevention</t>
  </si>
  <si>
    <t>SR0140-000</t>
  </si>
  <si>
    <t>Atrial fibrillation prevention of stroke and systemic embolism</t>
  </si>
  <si>
    <t>SR0214-000</t>
  </si>
  <si>
    <t>Boehringer Ingelheim</t>
  </si>
  <si>
    <t>SR0202-000</t>
  </si>
  <si>
    <t>Boehringer-Ingelheim (Canada) Ltd.</t>
  </si>
  <si>
    <t>SF0320-000</t>
  </si>
  <si>
    <t>Boehringer Ingelheim (Canada) Ltd</t>
  </si>
  <si>
    <t>Alirocumab</t>
  </si>
  <si>
    <t>Primary hypercholesterolemia (non-familial and heterozygous familial), mixed dyslipidemia</t>
  </si>
  <si>
    <t>SR0469-000</t>
  </si>
  <si>
    <t>Idarucizumab (Drug Plan Submission)</t>
  </si>
  <si>
    <t>Reversal of dabigatran anticoagulant effects</t>
  </si>
  <si>
    <t>SR0492-000</t>
  </si>
  <si>
    <t>letermovir</t>
  </si>
  <si>
    <t>Cytomegalovirus infection, prophylaxis</t>
  </si>
  <si>
    <t>SR0545-000</t>
  </si>
  <si>
    <t>Lumiracoxib</t>
  </si>
  <si>
    <t>Osteoarthritis (Knee)</t>
  </si>
  <si>
    <t>SR0090-000</t>
  </si>
  <si>
    <t>Darunavir/cobicistat</t>
  </si>
  <si>
    <t>HIV Infection</t>
  </si>
  <si>
    <t>SR0381-000</t>
  </si>
  <si>
    <t>Darunavir</t>
  </si>
  <si>
    <t>SR0072-000</t>
  </si>
  <si>
    <t>HIV (treatment naive)</t>
  </si>
  <si>
    <t>SR0163-000</t>
  </si>
  <si>
    <t>HIV infection (Pediatric)</t>
  </si>
  <si>
    <t>SR0194-000</t>
  </si>
  <si>
    <t>Desvenlafaxine succinate</t>
  </si>
  <si>
    <t>SR0159-000</t>
  </si>
  <si>
    <t>Wyeth Canada</t>
  </si>
  <si>
    <t>buprenorphine hydrochloride</t>
  </si>
  <si>
    <t>Opioid drug dependence, treatment</t>
  </si>
  <si>
    <t>SR0550-000</t>
  </si>
  <si>
    <t>cysteamine bitartrate</t>
  </si>
  <si>
    <t>Nephropathic cystinosis</t>
  </si>
  <si>
    <t>SR0526-000</t>
  </si>
  <si>
    <t>Horizon Pharma</t>
  </si>
  <si>
    <t>Aldesleukin (IL-2)</t>
  </si>
  <si>
    <t>In-transit Melanoma</t>
  </si>
  <si>
    <t>PC0051-000</t>
  </si>
  <si>
    <t>22 million IU/vial</t>
  </si>
  <si>
    <t>Administered intra-lesionally, for the treatment of in-transit metastasis from melanoma in patients who have failed or are not candidates for surgery or other treatments</t>
  </si>
  <si>
    <t>Cancer Care Ontario Melanoma Disease Site Group</t>
  </si>
  <si>
    <t>Denosumab</t>
  </si>
  <si>
    <t>SF0453-000</t>
  </si>
  <si>
    <t>SR0208-000</t>
  </si>
  <si>
    <t>Denosumab (Drug Plan Submission)</t>
  </si>
  <si>
    <t>Osteoporosis, men</t>
  </si>
  <si>
    <t>SR0414-000</t>
  </si>
  <si>
    <t>Amgen Canada</t>
  </si>
  <si>
    <t>ripretinib</t>
  </si>
  <si>
    <t>Gastrointestinal stromal tumours</t>
  </si>
  <si>
    <t>PC0265-000</t>
  </si>
  <si>
    <t>Medison Pharma Canada Inc.</t>
  </si>
  <si>
    <t>Levofloxacin</t>
  </si>
  <si>
    <t>Cystic fibrosis with chronic pulmonary Pseudomonas aeruginosa infections</t>
  </si>
  <si>
    <t>SR0493-000</t>
  </si>
  <si>
    <t>Raptor Pharmaceuticals Inc.</t>
  </si>
  <si>
    <t>edaravone</t>
  </si>
  <si>
    <t>amyotrophic lateral sclerosis</t>
  </si>
  <si>
    <t>SR0573-000</t>
  </si>
  <si>
    <t>Mitsubishi Tanabe Pharma Corporation</t>
  </si>
  <si>
    <t>Tramadol hydrochloride</t>
  </si>
  <si>
    <t>Pain</t>
  </si>
  <si>
    <t>SR0110-000</t>
  </si>
  <si>
    <t>Biovail Pharmaceuticals Canada</t>
  </si>
  <si>
    <t>Silodosin</t>
  </si>
  <si>
    <t>Benign prostatic hyperplasia</t>
  </si>
  <si>
    <t>SR0261-000</t>
  </si>
  <si>
    <t>Efalizumab</t>
  </si>
  <si>
    <t>SF0102-000</t>
  </si>
  <si>
    <t>Serono Canada Inc.</t>
  </si>
  <si>
    <t>SR0043-000</t>
  </si>
  <si>
    <t>Aliskiren</t>
  </si>
  <si>
    <t>SR0118-000</t>
  </si>
  <si>
    <t>glycerol phenylbutyrate</t>
  </si>
  <si>
    <t>SR0497-000</t>
  </si>
  <si>
    <t>Horizon Therapeutics Canada/Horizon Pharma Ireland Ltd.</t>
  </si>
  <si>
    <t>Interferon beta-1a</t>
  </si>
  <si>
    <t>Clinically isolated syndrome</t>
  </si>
  <si>
    <t>SR0298-000</t>
  </si>
  <si>
    <t>EMD Serono</t>
  </si>
  <si>
    <t>luspatercept</t>
  </si>
  <si>
    <t>beta-thalassemia associated anemia</t>
  </si>
  <si>
    <t>SR0669-000</t>
  </si>
  <si>
    <t>Celgene Inc. / Bristol-Myers Squibb Canada Co.</t>
  </si>
  <si>
    <t>Myelodysplastic syndromes-associated anemia</t>
  </si>
  <si>
    <t>SR0670-000</t>
  </si>
  <si>
    <t>Methylnaltrexone bromide</t>
  </si>
  <si>
    <t>Constipation, Opioid-induced</t>
  </si>
  <si>
    <t>SR0135-000</t>
  </si>
  <si>
    <t>Eletriptan hydrobromide</t>
  </si>
  <si>
    <t>SR0021-000</t>
  </si>
  <si>
    <t>SR0146-000</t>
  </si>
  <si>
    <t>Centocor Inc.</t>
  </si>
  <si>
    <t>Treprostinil sodium</t>
  </si>
  <si>
    <t>Pulmonary arterial hypertension (NYHA Class III and IV patients)</t>
  </si>
  <si>
    <t>SR0011-000</t>
  </si>
  <si>
    <t>Northern Therapeutics Inc.</t>
  </si>
  <si>
    <t>SR0052-000</t>
  </si>
  <si>
    <t>SE0383-000</t>
  </si>
  <si>
    <t>Fresenius Kabi Canada</t>
  </si>
  <si>
    <t>infliximab</t>
  </si>
  <si>
    <t>Rheumatoid arthritis</t>
  </si>
  <si>
    <t>SR0659-000</t>
  </si>
  <si>
    <t>Celltrion Healthcare Co., Ltd</t>
  </si>
  <si>
    <t>rheumatoid arthritis, ankylosing spondylitis, adult Crohn’s disease, pediatric Crohn’s disease, fistulising Crohn’s disease, adult ulcerative colitis, pediatric ulcerative colitis, psoriatic arthritis, plaque psoriasis</t>
  </si>
  <si>
    <t>SE0532-000</t>
  </si>
  <si>
    <t>Evolocumab</t>
  </si>
  <si>
    <t>Primary hyperlipidemia; mixed dyslipidemia</t>
  </si>
  <si>
    <t>SR0441-000</t>
  </si>
  <si>
    <t>Primary hyperlipidemia and mixed dyslipidemia</t>
  </si>
  <si>
    <t>SR0515-000</t>
  </si>
  <si>
    <t>Agalsidase alfa</t>
  </si>
  <si>
    <t>SR0006-000</t>
  </si>
  <si>
    <t>Transkaryotic Therapies Inc.</t>
  </si>
  <si>
    <t>Prucalopride</t>
  </si>
  <si>
    <t>Constipation, chronic</t>
  </si>
  <si>
    <t>SR0266-000</t>
  </si>
  <si>
    <t>Cyclosporine</t>
  </si>
  <si>
    <t>Dry eye disease</t>
  </si>
  <si>
    <t>SR0222-000</t>
  </si>
  <si>
    <t>selpercatinib</t>
  </si>
  <si>
    <t>RET fusion-positive non-small cell lung cancer</t>
  </si>
  <si>
    <t>PC0261-000</t>
  </si>
  <si>
    <t>Thyroid cancer</t>
  </si>
  <si>
    <t>PC0264-000</t>
  </si>
  <si>
    <t>Sildenafil citrate</t>
  </si>
  <si>
    <t>Pulmonary arterial hypertension (WHO class II and III)</t>
  </si>
  <si>
    <t>SR0076-000</t>
  </si>
  <si>
    <t>teduglutide</t>
  </si>
  <si>
    <t>Short Bowel Syndrome (SBS), pediatrics</t>
  </si>
  <si>
    <t>SR0606-000</t>
  </si>
  <si>
    <t>Shire Pharmaceuticals Ireland Limited</t>
  </si>
  <si>
    <t>Teduglutide</t>
  </si>
  <si>
    <t>Short bowel syndrome</t>
  </si>
  <si>
    <t>SR0459-000</t>
  </si>
  <si>
    <t>Shire Pharma Canada ULC/NPS Pharma Holdings Limited</t>
  </si>
  <si>
    <t>Lenalidomide</t>
  </si>
  <si>
    <t>Multiple Myeloma (as maintenance therapy)</t>
  </si>
  <si>
    <t>PC0029-000</t>
  </si>
  <si>
    <t>5mg, 10mg, 15mg and 25mg capsules</t>
  </si>
  <si>
    <t>For the maintenance treatment of newly diagnosed multiple myeloma in patients after stem-cell transplantation</t>
  </si>
  <si>
    <t>Multiple Myeloma, newly diagnosed</t>
  </si>
  <si>
    <t>PC0061-000</t>
  </si>
  <si>
    <t>5, 10, 15, 25 mg capsules</t>
  </si>
  <si>
    <t>In combination with low-dose dexamethasone, for treatment of newly diagnosed multiple myeloma patients who are not candidates for stem cell transplantation</t>
  </si>
  <si>
    <t>Multiple Myeloma (+bortezomib+dex)</t>
  </si>
  <si>
    <t>PC0141-000</t>
  </si>
  <si>
    <t>2.5 mg, 5 mg, 10 mg, 15 mg, 20 mg and 25 mg</t>
  </si>
  <si>
    <t>The combination of lenalidomide, bortezomib, and low-dose dexamethasone, for the treatment of newly diagnosed multiple myeloma patients in whom stem cell transplantation is not intended</t>
  </si>
  <si>
    <t>Eltrombopag</t>
  </si>
  <si>
    <t>Thrombocytopenia associated with chronic hepatitis c infection</t>
  </si>
  <si>
    <t>SR0377-000</t>
  </si>
  <si>
    <t>eltrombopag</t>
  </si>
  <si>
    <t>Eltrombopag olamine</t>
  </si>
  <si>
    <t>Chronic immune thrombocytopenic purpura</t>
  </si>
  <si>
    <t>SR0230-000</t>
  </si>
  <si>
    <t>Brexpiprazole</t>
  </si>
  <si>
    <t>schizophrenia</t>
  </si>
  <si>
    <t>SR0514-000</t>
  </si>
  <si>
    <t>Otsuka-Lundbeck</t>
  </si>
  <si>
    <t>Atazanavir</t>
  </si>
  <si>
    <t>SR0002-000</t>
  </si>
  <si>
    <t>Bristol Myers Squibb</t>
  </si>
  <si>
    <t>upadacitinib</t>
  </si>
  <si>
    <t>Psoriatic Arthritis, adults</t>
  </si>
  <si>
    <t>SR0658-000</t>
  </si>
  <si>
    <t>SR0685-000</t>
  </si>
  <si>
    <t>SR0614-000</t>
  </si>
  <si>
    <t>Rituximab</t>
  </si>
  <si>
    <t>SR0068-000</t>
  </si>
  <si>
    <t>PC0102-000</t>
  </si>
  <si>
    <t>200mg and 500mg vials</t>
  </si>
  <si>
    <t>In combination with standard of care chemotherapy for Philadelphia chromosome negative, CD20 antigen positive, B-cell precursor acute lymphoblastic leukemia in adults</t>
  </si>
  <si>
    <t>Cancer Care Manitoba</t>
  </si>
  <si>
    <t>Granulomatosis with polyangiitis and microscopic polyangiitis</t>
  </si>
  <si>
    <t>SR0270-000</t>
  </si>
  <si>
    <t>Ivermectin</t>
  </si>
  <si>
    <t>SR0429-000</t>
  </si>
  <si>
    <t>Entrectinib</t>
  </si>
  <si>
    <t>ROS1-positive NSCLC</t>
  </si>
  <si>
    <t>PC0206-000</t>
  </si>
  <si>
    <t>100 mg and 200 mg</t>
  </si>
  <si>
    <t>For the first-line treatment of adult patients with ROS1-positive locally advanced or metastatic non-small cell lung cancer</t>
  </si>
  <si>
    <t>amifampridine</t>
  </si>
  <si>
    <t>Lambert-Eaton myasthenic syndrome</t>
  </si>
  <si>
    <t>SR0660-000</t>
  </si>
  <si>
    <t>Médunik Canada Inc.</t>
  </si>
  <si>
    <t>SR0637-000</t>
  </si>
  <si>
    <t>Midostaurin</t>
  </si>
  <si>
    <t>Acute Myeloid Leukemia</t>
  </si>
  <si>
    <t>PC0108-000</t>
  </si>
  <si>
    <t>25 mg</t>
  </si>
  <si>
    <t>In combination with standard cytarabine and daunorubicin induction and cytarabine consolidation chemotherapy for the treatment of adult patients with newly diagnosed FLT3-mutated acute myeloid leukemia (AML)</t>
  </si>
  <si>
    <t>The timeline of the review was temporarily stopped as of July 27, pending receipt of updated economic information from the submitter. The documents were received, and the submission resumed on August 17.</t>
  </si>
  <si>
    <t>Systemic Mastocytosis</t>
  </si>
  <si>
    <t>PC0193-000</t>
  </si>
  <si>
    <t>For the treatment of adult patients with aggressive systemic mastocytosis (ASM), systemic mastocytosis with associated hematological neoplasm (SM-AHN), or mast cell leukemia (MCL).</t>
  </si>
  <si>
    <t>Hyponatremia, non-hypovolemic</t>
  </si>
  <si>
    <t>SR0283-000</t>
  </si>
  <si>
    <t>Asenapine</t>
  </si>
  <si>
    <t>SR0262-000</t>
  </si>
  <si>
    <t>Bipolar I disorder</t>
  </si>
  <si>
    <t>SR0262-001</t>
  </si>
  <si>
    <t>Isatuximab</t>
  </si>
  <si>
    <t>PC0220-000</t>
  </si>
  <si>
    <t>100mg and 500mg</t>
  </si>
  <si>
    <t>Isatuximab in combination with pomalidomide and dexamethasone, for the treatment of patients with relapsed and refractory multiple myeloma who have received at least two prior therapies including lenalidomide and a proteasome inhibitor.</t>
  </si>
  <si>
    <t>isatuximab</t>
  </si>
  <si>
    <t>PC0256-000</t>
  </si>
  <si>
    <t>Delta-9-tetrahydrocannabinol/cannabidiol</t>
  </si>
  <si>
    <t>Pain, cancer (adjunctive analgesia to maximum tolerated strong opioids)</t>
  </si>
  <si>
    <t>SR0106-000</t>
  </si>
  <si>
    <t>GW  Pharma Ltd.</t>
  </si>
  <si>
    <t>Pain, Neuropathic (adjunctive) in MS.</t>
  </si>
  <si>
    <t>SR0092-000</t>
  </si>
  <si>
    <t>liraglutide</t>
  </si>
  <si>
    <t>SR0668-000</t>
  </si>
  <si>
    <t>Telbivudine</t>
  </si>
  <si>
    <t>SR0088-000</t>
  </si>
  <si>
    <t>Glycopyrronium bromide</t>
  </si>
  <si>
    <t>SR0300-000</t>
  </si>
  <si>
    <t>ertugliflozin and metformin hydrochloride</t>
  </si>
  <si>
    <t>SR0566-000</t>
  </si>
  <si>
    <t>insulin glargine</t>
  </si>
  <si>
    <t>SE0589-000</t>
  </si>
  <si>
    <t>Cinacalcet hydrochloride</t>
  </si>
  <si>
    <t>Secondary hyper-parathyroidism in chronic kidney disease</t>
  </si>
  <si>
    <t>SR0018-000</t>
  </si>
  <si>
    <t>Pasireotide diaspartate</t>
  </si>
  <si>
    <t>Cushing’s disease</t>
  </si>
  <si>
    <t>SR0372-000</t>
  </si>
  <si>
    <t>brodalumab</t>
  </si>
  <si>
    <t>SR0547-000</t>
  </si>
  <si>
    <t>Calcitriol</t>
  </si>
  <si>
    <t>Psoriasis, mild to moderate plaque</t>
  </si>
  <si>
    <t>SR0199-000</t>
  </si>
  <si>
    <t>Brinzolamide / brimonidine</t>
  </si>
  <si>
    <t>SR0403-000</t>
  </si>
  <si>
    <t>Golimumab</t>
  </si>
  <si>
    <t>SR0341-000</t>
  </si>
  <si>
    <t>SR0195-000</t>
  </si>
  <si>
    <t>SR0174-000</t>
  </si>
  <si>
    <t>SR0196-000</t>
  </si>
  <si>
    <t>SR0351-000</t>
  </si>
  <si>
    <t>Tedizolid phosphate</t>
  </si>
  <si>
    <t>Acute bacterial skin and skin structure infections</t>
  </si>
  <si>
    <t>SR0413-000</t>
  </si>
  <si>
    <t>Cubist Pharmaceuticals Canada, Inc.</t>
  </si>
  <si>
    <t>risankizumab</t>
  </si>
  <si>
    <t>SR0583-000</t>
  </si>
  <si>
    <t>lixisenatide + insulin glargine</t>
  </si>
  <si>
    <t>SR0564-000</t>
  </si>
  <si>
    <t>Eculizumab</t>
  </si>
  <si>
    <t>Paroxysmal nocturnal hemoglobinuria (PNH)</t>
  </si>
  <si>
    <t>SR0176-000</t>
  </si>
  <si>
    <t>Alexion Pharmaceuticals Inc.</t>
  </si>
  <si>
    <t>eculizumab</t>
  </si>
  <si>
    <t>Myasthenia Gravis (gMG), adults</t>
  </si>
  <si>
    <t>SR0605-000</t>
  </si>
  <si>
    <t>Alexion Pharma Canada Corp.</t>
  </si>
  <si>
    <t>SR0640-000</t>
  </si>
  <si>
    <t>Hemolytic Uremic Syndrome, Atypical</t>
  </si>
  <si>
    <t>SR0304-000</t>
  </si>
  <si>
    <t>Alexion Pharma Canada</t>
  </si>
  <si>
    <t>Atypical hemolytic uremic syndrome</t>
  </si>
  <si>
    <t>SF0416-000</t>
  </si>
  <si>
    <t>Lanreotide acetate</t>
  </si>
  <si>
    <t>Acromegaly</t>
  </si>
  <si>
    <t>SR0091-000</t>
  </si>
  <si>
    <t>Ipsen Limited</t>
  </si>
  <si>
    <t>Pegvisomant</t>
  </si>
  <si>
    <t>acromegaly</t>
  </si>
  <si>
    <t>SR0050-000</t>
  </si>
  <si>
    <t>Sofosbuvir</t>
  </si>
  <si>
    <t>SR0356-000</t>
  </si>
  <si>
    <t>sofosbuvir</t>
  </si>
  <si>
    <t>SF0464-000</t>
  </si>
  <si>
    <t>nusinersen</t>
  </si>
  <si>
    <t>Spinal Muscular Atrophy</t>
  </si>
  <si>
    <t>SR0525-000</t>
  </si>
  <si>
    <t>Nusinersen</t>
  </si>
  <si>
    <t>SR0576-000</t>
  </si>
  <si>
    <t>Tiotropium bromide</t>
  </si>
  <si>
    <t>SR0412-000</t>
  </si>
  <si>
    <t>esketamine hydrochloride</t>
  </si>
  <si>
    <t>Major depressive disorder (MDD), adults</t>
  </si>
  <si>
    <t>SR0621-000</t>
  </si>
  <si>
    <t>Posaconazole</t>
  </si>
  <si>
    <t>Aspergillus and Candida infections</t>
  </si>
  <si>
    <t>SR0097-000</t>
  </si>
  <si>
    <t>Carbidopa, levodopa and entacapone</t>
  </si>
  <si>
    <t>Parkinsons Disease</t>
  </si>
  <si>
    <t>SR0131-000</t>
  </si>
  <si>
    <t>ertugliflozin</t>
  </si>
  <si>
    <t>SR0565-000</t>
  </si>
  <si>
    <t>Ustekinumab</t>
  </si>
  <si>
    <t>SR0156-000</t>
  </si>
  <si>
    <t>SR0359-000</t>
  </si>
  <si>
    <t>ustekinumab</t>
  </si>
  <si>
    <t>SR0627-000</t>
  </si>
  <si>
    <t>SR0501-000</t>
  </si>
  <si>
    <t>Regorafenib</t>
  </si>
  <si>
    <t>Unresectable Hepatocellular Carcinoma (HCC)</t>
  </si>
  <si>
    <t>PC0119-000</t>
  </si>
  <si>
    <t>For treatment of patients with unresectable hepatocellular carcinoma (HCC) who have been previously treated with sorafenib</t>
  </si>
  <si>
    <t>PC0026-000</t>
  </si>
  <si>
    <t>40 mg tablets</t>
  </si>
  <si>
    <t>The treatment of patients with metastatic colorectal cancer (CRC) who have been previously treated with fluoropyrimidine-based chemotherapy, oxaliplatin, irinotecan, an anti-VEGF therapy, and, if KRAS wild type, an anti-EGFR therapy</t>
  </si>
  <si>
    <t>Gastrointestinal Stromal Tumour</t>
  </si>
  <si>
    <t>PC0034-000</t>
  </si>
  <si>
    <t>40 mg Tablets</t>
  </si>
  <si>
    <t>Treatment of patients with metastatic and/or unresectable gastrointestinal stromal tumours (GIST) who have had disease progression on or intolerance to imatinib mesylate, and sunitinib malate treatment</t>
  </si>
  <si>
    <t>PC0046-000</t>
  </si>
  <si>
    <t>40mg tablet</t>
  </si>
  <si>
    <t>Treatment of patients with metastatic colorectal cancer (CRC), and an ECOG status of ≤1, who have been previously treated with fluoropyrimidine-based chemotherapy, oxaliplatin, irinotecan, an anti-VEGF therapy, and, if KRAS wild type, an anti-EGFR therapy</t>
  </si>
  <si>
    <t>Atomoxetine hydrochloride</t>
  </si>
  <si>
    <t>SR0031-000</t>
  </si>
  <si>
    <t>SF0085-000</t>
  </si>
  <si>
    <t>Asfotase alfa</t>
  </si>
  <si>
    <t>Hypophosphatasia, pediatric-onset</t>
  </si>
  <si>
    <t>SR0443-000</t>
  </si>
  <si>
    <t>Alexion Pharmaceuticals Canada</t>
  </si>
  <si>
    <t>Elvitegravir/  Cobicistat/  Emtricitabine/  Tenofovir Disoproxil Fumarate</t>
  </si>
  <si>
    <t>SR0301-000</t>
  </si>
  <si>
    <t>Zolpidem tartrate</t>
  </si>
  <si>
    <t>Insomnia</t>
  </si>
  <si>
    <t>SR0314-000</t>
  </si>
  <si>
    <t>buprenorphine</t>
  </si>
  <si>
    <t>Opioid use disorder, treatment</t>
  </si>
  <si>
    <t>SR0579-000</t>
  </si>
  <si>
    <t>Indivior Canada Ltd.</t>
  </si>
  <si>
    <t>Buprenorphine/naloxone</t>
  </si>
  <si>
    <t>Opioid drug dependence (Substitution treatment)</t>
  </si>
  <si>
    <t>SR0128-000</t>
  </si>
  <si>
    <t>Schering-Plough Canada Inc</t>
  </si>
  <si>
    <t>Asunaprevir</t>
  </si>
  <si>
    <t>SR0418-000</t>
  </si>
  <si>
    <t>Sunitinib</t>
  </si>
  <si>
    <t>Gastrointestinal stromal tumour (GIST)</t>
  </si>
  <si>
    <t>SR0069-000</t>
  </si>
  <si>
    <t>Sunitinib malate</t>
  </si>
  <si>
    <t>PC0004-000</t>
  </si>
  <si>
    <t>12.5mg, 25mg, 50mg</t>
  </si>
  <si>
    <t>Patients with unresectable locally advanced or metastatic, well-differentiated pancreatic neuroendocrine tumours, whose disease is progressive</t>
  </si>
  <si>
    <t>Cancer, Metastatic renal cell carcinoma</t>
  </si>
  <si>
    <t>SR0077-000</t>
  </si>
  <si>
    <t>Siltuximab</t>
  </si>
  <si>
    <t>Multicentric Castleman's disease (MCD)</t>
  </si>
  <si>
    <t>PC0052-000</t>
  </si>
  <si>
    <t>100mg/vial and 400mg/vial</t>
  </si>
  <si>
    <t>For the treatment of patients with multicentric Castleman's disease (MCD) who are human immunodeficiency virus (HIV)-negative and human herpes virus-8 (HHV-8)-negative</t>
  </si>
  <si>
    <t>tezacaftor/ivacaftor</t>
  </si>
  <si>
    <t>Darunavir/cobicistat/emtricitabine/tenofovir alafenamide</t>
  </si>
  <si>
    <t>SR0552-000</t>
  </si>
  <si>
    <t>Empagliflozin and metformin</t>
  </si>
  <si>
    <t>SR0489-000</t>
  </si>
  <si>
    <t>Dabrafenib</t>
  </si>
  <si>
    <t>PC0025-000</t>
  </si>
  <si>
    <t>50 mg and 75 mg capsule</t>
  </si>
  <si>
    <t>For use as monotherapy for the treatment of patients with unresectable or metastatic melanoma, with a BRAF V600 mutation</t>
  </si>
  <si>
    <t>Dabrafenib and Trametinib</t>
  </si>
  <si>
    <t>NSCLC BRAF V600</t>
  </si>
  <si>
    <t>PC0226-000</t>
  </si>
  <si>
    <t>For the treatment of patients with metastatic non-small cell lung cancer (NSCLC) with a BRAF V600 mutation and who have not received any prior anti-cancer therapy for metastatic disease.</t>
  </si>
  <si>
    <t>Dabrafenib &amp; Trametinib in combo</t>
  </si>
  <si>
    <t>PC0152-000</t>
  </si>
  <si>
    <t>50 mg &amp; 75 mg and 0.5 mg &amp; 2.0 mg</t>
  </si>
  <si>
    <t>For the adjuvant treatment of patients with melanoma with a BRAF V600 mutation and involvement of lymph node(s), following complete resection</t>
  </si>
  <si>
    <t>PC0106-000</t>
  </si>
  <si>
    <t>Dabrafenib: 50mg and 75mg capsules; Trametinib: 0.5mg and 2.0mg tablet</t>
  </si>
  <si>
    <t>In combination for the treatment of patients with advanced non-small cell lung cancer (NSCLC) with a BRAF V600 mutation and who have been previously treated with chemotherapy</t>
  </si>
  <si>
    <t>PC0053-000</t>
  </si>
  <si>
    <t>Dabrafenib: 50mg and 75mg capsules;Trametinib: 0.5mg and 2.0mg tablets</t>
  </si>
  <si>
    <t>Dabrafenib and trametinib in combination for the treatment of patients with unresectable or metastatic melanoma with a BRAF 600 mutation.</t>
  </si>
  <si>
    <t>Osimertinib</t>
  </si>
  <si>
    <t>Non-Small Cell Lung Cancer (NSCLC) (first line)</t>
  </si>
  <si>
    <t>PC0137-000</t>
  </si>
  <si>
    <t>40 mg and 80 mg</t>
  </si>
  <si>
    <t>For the first-line treatment of patients with locally advanced or metastatic non-small cell lung cancer (NSCLC) whose tumours have epidermal growth factor receptor (EGFR) mutations</t>
  </si>
  <si>
    <t>PC0076-000</t>
  </si>
  <si>
    <t>40 mg and 80 mg Tablets</t>
  </si>
  <si>
    <t>For the treatment of patients with locally advanced or metastatic EGFR T790M mutation-positive NSCLC who have progressed on or after EGFR TKI therapy</t>
  </si>
  <si>
    <t>The timeline of the review was temporarily stopped, pending receipt of the additional information from the submitter.  The timeline of the review has resumed as the additional information has now been provided and a new pERC date has been set by pCODR.</t>
  </si>
  <si>
    <t>osimertinib</t>
  </si>
  <si>
    <t>PC0246-000</t>
  </si>
  <si>
    <t>lanadelumab</t>
  </si>
  <si>
    <t>Hereditary angioedema, prevention</t>
  </si>
  <si>
    <t>SR0618-000</t>
  </si>
  <si>
    <t>Shire Pharma Canada ULC</t>
  </si>
  <si>
    <t>ixekizumab</t>
  </si>
  <si>
    <t>SR0630-000</t>
  </si>
  <si>
    <t>Ixekizumab</t>
  </si>
  <si>
    <t>SR0481-000</t>
  </si>
  <si>
    <t>SR0558-000</t>
  </si>
  <si>
    <t>talazoparib</t>
  </si>
  <si>
    <t>Breast cancer</t>
  </si>
  <si>
    <t>Erlotinib</t>
  </si>
  <si>
    <t>SR0037-000</t>
  </si>
  <si>
    <t>Oxycodone HCI / naloxone HCI</t>
  </si>
  <si>
    <t>Pain, moderate to severe and relief of opioid-induced constipation</t>
  </si>
  <si>
    <t>SR0241-000</t>
  </si>
  <si>
    <t>Oxycodone / naloxone</t>
  </si>
  <si>
    <t>Pain, Moderate to severe and relief of opioid-induced constipation</t>
  </si>
  <si>
    <t>SR0219-000</t>
  </si>
  <si>
    <t>fostamatinib</t>
  </si>
  <si>
    <t>Chronic immune thrombocytopenia</t>
  </si>
  <si>
    <t>SR0701-000</t>
  </si>
  <si>
    <t>Medison Pharma Canada</t>
  </si>
  <si>
    <t>macitentan and tadalafil</t>
  </si>
  <si>
    <t>SR0690-000</t>
  </si>
  <si>
    <t>filgrastim</t>
  </si>
  <si>
    <t>SE0596-000</t>
  </si>
  <si>
    <t>avalglucosidase alfa</t>
  </si>
  <si>
    <t>Pompe disease</t>
  </si>
  <si>
    <t>SR0703-000</t>
  </si>
  <si>
    <t>sacituzumab govitecan</t>
  </si>
  <si>
    <t>Locally advanced or metastatic triple-negative breast cancer</t>
  </si>
  <si>
    <t>PC0254-000</t>
  </si>
  <si>
    <t>halobetasol propionate and tazarotene</t>
  </si>
  <si>
    <t>SR0600-000</t>
  </si>
  <si>
    <t>SR0629-000</t>
  </si>
  <si>
    <t>ravulizumab</t>
  </si>
  <si>
    <t>Paroxysmal nocturnal hemoglobinuria.</t>
  </si>
  <si>
    <t>SR0623-000</t>
  </si>
  <si>
    <t>Alexion Pharma Canada Corp</t>
  </si>
  <si>
    <t>filgotinib</t>
  </si>
  <si>
    <t>SR0656-000</t>
  </si>
  <si>
    <t>enfortumab vedotin</t>
  </si>
  <si>
    <t>Locally advanced or metastatic urothelial carcinoma</t>
  </si>
  <si>
    <t>PC0251-000</t>
  </si>
  <si>
    <t>Seagen Canada Inc.</t>
  </si>
  <si>
    <t>abrocitinib</t>
  </si>
  <si>
    <t>Atopic dermatitis, moderate to severe</t>
  </si>
  <si>
    <t>SR0686-000</t>
  </si>
  <si>
    <t>tralokinumab</t>
  </si>
  <si>
    <t>SR0689-000</t>
  </si>
  <si>
    <t>lisocabtagene maraleucel</t>
  </si>
  <si>
    <t>Relapsed or refractory large B-cell lymphoma</t>
  </si>
  <si>
    <t>PG0258-000</t>
  </si>
  <si>
    <t>Celgene Inc., a Bristol Myers Squibb company (Celgene)</t>
  </si>
  <si>
    <t>mogamulizumab</t>
  </si>
  <si>
    <t>mycosis fungoides (MF), Sézary syndrome (SS)</t>
  </si>
  <si>
    <t>PC0244-000</t>
  </si>
  <si>
    <t>Kyowa Kirin Canada</t>
  </si>
  <si>
    <t>cariprazine</t>
  </si>
  <si>
    <t>SR0708-000</t>
  </si>
  <si>
    <t>AbbVie Canada</t>
  </si>
  <si>
    <t>Darunavir / cobicistat</t>
  </si>
  <si>
    <t>SR0378-000</t>
  </si>
  <si>
    <t>Prevention or treatment of neutropenia in various indications</t>
  </si>
  <si>
    <t>SE0585-000</t>
  </si>
  <si>
    <t>bimekizumab</t>
  </si>
  <si>
    <t>SR0698-000</t>
  </si>
  <si>
    <t>somatrogon</t>
  </si>
  <si>
    <t>Growth hormone deficiency</t>
  </si>
  <si>
    <t>SR0683-000</t>
  </si>
  <si>
    <t>immune globulin human and recombinant human hyaluronidase (TBC)</t>
  </si>
  <si>
    <t>Humoral immunodeficiency</t>
  </si>
  <si>
    <t>ST0695-000</t>
  </si>
  <si>
    <t>dostarlimab</t>
  </si>
  <si>
    <t>Endometrial cancer</t>
  </si>
  <si>
    <t>PC0263-000</t>
  </si>
  <si>
    <t>PC0180-000</t>
  </si>
  <si>
    <t>Lymphoma &amp; Leukemia</t>
  </si>
  <si>
    <t>Non-Hodgkin’s Lymphoma  and Chronic Lymphocytic Leukemia</t>
  </si>
  <si>
    <t>Sandoz Canada</t>
  </si>
  <si>
    <t>PC0160-000</t>
  </si>
  <si>
    <t>Breast &amp; Gastrointestinal</t>
  </si>
  <si>
    <t>Breast and Gastric Cancer Biosimilar</t>
  </si>
  <si>
    <t>PC0123-000</t>
  </si>
  <si>
    <t>For the treatment of patients with advanced renal cell carcinoma (RCC) who have received prior therapy</t>
  </si>
  <si>
    <t>Ipsen Biopharmaceuticals Canada Inc. has notified pCODR that the Category 2 submission requirements for the pre NOC submission of Cabozantinib (Cabometyx) RCC cannot be met at this time. As per pCODR Procedures C3.1.6, the pCODR program has stopped the review.</t>
  </si>
  <si>
    <t>PC0178-000</t>
  </si>
  <si>
    <t>Metastatic Colorectal Cancer (mCRC); Non-Small Cell Lung Cancer (NSCLC)</t>
  </si>
  <si>
    <t>PC0157-000</t>
  </si>
  <si>
    <t>For the treatment of NTRK fusion-positive, locally advanced or metastatic solid tumors in adult and pediatric patients.</t>
  </si>
  <si>
    <t>Hoffmann-La Roche Limited has requested a voluntary withdrawal of the pCODR 10157 Entrectinib (TBD) for NTRK+ solid tumours  submission.</t>
  </si>
  <si>
    <t>brexucabtagene autoleucel</t>
  </si>
  <si>
    <t>Mantle cell lymphoma</t>
  </si>
  <si>
    <t>PG0219-000</t>
  </si>
  <si>
    <t>Atezolizumab</t>
  </si>
  <si>
    <t>PC0171-000</t>
  </si>
  <si>
    <t>840 mg/14 mL &amp; 1200 mg/20 mL</t>
  </si>
  <si>
    <t>In combination with nab-paclitaxel for the treatment of adult patients with unresectable, locally advanced or metastatic triple-negative breast cancer (TNBC) whose tumours express PD-L1, and who have not received prior chemotherapy for metastatic disease. Maintenance TECENTRIQ should be continued until disease progression or unacceptable toxicity.</t>
  </si>
  <si>
    <t>Hoffmann-La Roche Limited has requested a voluntary withdrawal of the pCODR 10171 Atezolizumab (Tecentriq) for MBC submission.</t>
  </si>
  <si>
    <t>Small Cell Lung Cancer (SCLC)</t>
  </si>
  <si>
    <t>PC0156-000</t>
  </si>
  <si>
    <t>60 mg/mL</t>
  </si>
  <si>
    <t>For the first-line treatment of patients with extensive stage small cell lung cancer (ES-SCLC) in combination with a platinum-based chemotherapy and etoposide. Maintenance TECENTRIQ should be continued until loss of clinical benefit or unacceptable toxicity</t>
  </si>
  <si>
    <t>A procedural review request has been received and granted.</t>
  </si>
  <si>
    <t>Locally Advanced or Metastatic Non-Small Cell Lung Cancer (NSCLC)</t>
  </si>
  <si>
    <t>PC0115-000</t>
  </si>
  <si>
    <t>For the treatment of patients with locally advanced or metastatic non-small cell lung cancer who have progressed on or after systemic chemotherapy until loss of clinical benefit</t>
  </si>
  <si>
    <t>Atezolizumab &amp; Bevacizumab</t>
  </si>
  <si>
    <t>NSQ-NSCLC</t>
  </si>
  <si>
    <t>PC0155-000</t>
  </si>
  <si>
    <t>1200 mg/20 mL (60 mg/mL) vial &amp; 100 mg/4 mL (25 mg/mL) and 400mg/16mL (25 mg/mL) vials</t>
  </si>
  <si>
    <t>For the treatment of metastatic EGFR and/or ALK positive non-squamous non-small cell lung cancer in patients who have progressed on treatment with targeted therapies. Maintenance TECENTRIQ should be continued until loss of clinical benefit or unacceptable toxicity. Maintenance AVASTIN should be continued until disease progression or unacceptable toxicity.</t>
  </si>
  <si>
    <t>PC0217-000</t>
  </si>
  <si>
    <t>1200 mg/20 mL and 840 mg/14 mL</t>
  </si>
  <si>
    <t>TECENTRIQ (atezolizumab), in combination with AVASTIN (bevacizumab), for the first-line treatment of adult patients with unresectable or metastatic hepatocellular carcinoma (HCC) who require systemic therapy. Maintenance TECENTRIQ should continue until loss of clinical benefit or unacceptable toxicity. Maintenance AVASTIN should continue until loss of clinical benefit or unacceptable toxicity.</t>
  </si>
  <si>
    <t>Dimethyl fumarate</t>
  </si>
  <si>
    <t>SR0309-000</t>
  </si>
  <si>
    <t>Ombitasvir/ paritaprevir/ ritonavir</t>
  </si>
  <si>
    <t>SR0444-000</t>
  </si>
  <si>
    <t>inotersen</t>
  </si>
  <si>
    <t>hereditary transthyretin amyloidosis</t>
  </si>
  <si>
    <t>SR0603-000</t>
  </si>
  <si>
    <t>Akcea Therapeutics Inc.</t>
  </si>
  <si>
    <t>Fosamprenavir calcium</t>
  </si>
  <si>
    <t>SR0030-000</t>
  </si>
  <si>
    <t>tepotinib</t>
  </si>
  <si>
    <t>Locally advanced or metastatic non-small cell lung cancer</t>
  </si>
  <si>
    <t>PC0255-000</t>
  </si>
  <si>
    <t>EMD Serono Canada, a division of EMD Inc.</t>
  </si>
  <si>
    <t>Eprosartan mesylate/ hydrochlorothiazide</t>
  </si>
  <si>
    <t>Hypertension, Essential</t>
  </si>
  <si>
    <t>SR0016-000</t>
  </si>
  <si>
    <t>Sitaxsentan sodium</t>
  </si>
  <si>
    <t>SR0132-000</t>
  </si>
  <si>
    <t>Encysive Canada Inc.</t>
  </si>
  <si>
    <t>SR0099-000</t>
  </si>
  <si>
    <t>Dolutegravir</t>
  </si>
  <si>
    <t>SR0357-000</t>
  </si>
  <si>
    <t>Alitretinoin</t>
  </si>
  <si>
    <t>Eczema</t>
  </si>
  <si>
    <t>SR0232-000</t>
  </si>
  <si>
    <t>Actelion</t>
  </si>
  <si>
    <t>Fesoterodine fumarate</t>
  </si>
  <si>
    <t>SR0277-000</t>
  </si>
  <si>
    <t>Pfizer  Canada Inc.</t>
  </si>
  <si>
    <t>Linagliptin</t>
  </si>
  <si>
    <t>SR0244-000</t>
  </si>
  <si>
    <t>Boehringer Ingelheim Canada</t>
  </si>
  <si>
    <t>Tramadol hydrochloride /acetaminophen</t>
  </si>
  <si>
    <t>Acute pain</t>
  </si>
  <si>
    <t>SR0079-000</t>
  </si>
  <si>
    <t>ataluren</t>
  </si>
  <si>
    <t>SR0607-000</t>
  </si>
  <si>
    <t>PTC Therapeutics Canada ULC</t>
  </si>
  <si>
    <t>Bendamustine hydrochloride</t>
  </si>
  <si>
    <t>Chronic Lymphocytic Leukemia (first-line)</t>
  </si>
  <si>
    <t>PC0011-000</t>
  </si>
  <si>
    <t>25mg/vial and 100mg/vial</t>
  </si>
  <si>
    <t>Patients with Chronic Lymphocytic Leukemia (first line) for whom fludarabine-based therapy is not appropriate</t>
  </si>
  <si>
    <t>Non-Hodgkin Lymphoma  and Mantle Cell Lymphoma</t>
  </si>
  <si>
    <t>PC0010-000</t>
  </si>
  <si>
    <t>25 mg/vial and 100 mg/vial</t>
  </si>
  <si>
    <t>For patients with indolent Non-Hodgkin Lymphoma or Mantle Cell Lymphoma (first line and relapse/refractory)</t>
  </si>
  <si>
    <t>Chronic Lymphocytic Leukemia (relapsed/refractory)</t>
  </si>
  <si>
    <t>Patients with Chronic Lymphocytic Leukemia (relapsed/refractory) for whom fludarabine-based therapy is not appropriate</t>
  </si>
  <si>
    <t>As per pCODR Procedures B5.4, the pERC deliberations for Bendamustine (Treanda) First Line treatment of patients with CLL was deferred to the January 17, 2013 pERC meeting date, once the submitter provided the requested additional economic information. Please see the Bendamustine (Treanda) for Chronic Lymphocytic Leukemia (First Line) Details page for more information.</t>
  </si>
  <si>
    <t>PC0040-000</t>
  </si>
  <si>
    <t>For the first-line treatment of patients with chronic lymphocytic leukemia in combination with rituximab</t>
  </si>
  <si>
    <t>Lundbeck Canada Inc. has requested a voluntary withdrawal of the Bendamustine (Treanda) in combination with rituximab for CLL Submission in anticipation of new clinical information and possible resubmission. As per pCODR Procedures B3.1.6.2 b), the pCODR Secretariat has stopped the review. The pCODR Provincial Advisory Group has agreed with the manufacturer's request.</t>
  </si>
  <si>
    <t>fluticasone furoate umeclidinium vilanterol</t>
  </si>
  <si>
    <t>Chronic obstructive pulmonary disease (COPD)</t>
  </si>
  <si>
    <t>SR0562-000</t>
  </si>
  <si>
    <t>Triptorelin pamoate</t>
  </si>
  <si>
    <t>Cancer, prostate</t>
  </si>
  <si>
    <t>SR0051-000</t>
  </si>
  <si>
    <t>Watson Laboratories Inc.</t>
  </si>
  <si>
    <t>guselkumab</t>
  </si>
  <si>
    <t>SR0530-000</t>
  </si>
  <si>
    <t>insulin degludec</t>
  </si>
  <si>
    <t>SR0521-000</t>
  </si>
  <si>
    <t>SR0117-000</t>
  </si>
  <si>
    <t>Labopharm Inc.</t>
  </si>
  <si>
    <t>elexacaftor / tezacaftor / ivacaftor and ivacaftor</t>
  </si>
  <si>
    <t>Cystic fibrosis, F508del CFTR mutation</t>
  </si>
  <si>
    <t>SR0673-000</t>
  </si>
  <si>
    <t>vortioxetine hydrobromide</t>
  </si>
  <si>
    <t>Major depressive disorder (MDD), adults.</t>
  </si>
  <si>
    <t>SR0611-000</t>
  </si>
  <si>
    <t>Vortioxetine</t>
  </si>
  <si>
    <t>Depression, major depressive disorder</t>
  </si>
  <si>
    <t>SR0402-000</t>
  </si>
  <si>
    <t>Arsenic Trioxide</t>
  </si>
  <si>
    <t>Acute Promyelocytic Leukemia</t>
  </si>
  <si>
    <t>PC0033-000</t>
  </si>
  <si>
    <t>1 mg/mL</t>
  </si>
  <si>
    <t>For patients who were refractory to or relapsed from previous treatment and newly diagnosed APL patients who have received no prior treatment</t>
  </si>
  <si>
    <t>Dolutegravir / abacavir / lamivudine</t>
  </si>
  <si>
    <t>SR0387-000</t>
  </si>
  <si>
    <t>Trospium chloride</t>
  </si>
  <si>
    <t>SR0055-000</t>
  </si>
  <si>
    <t>Dulaglutide</t>
  </si>
  <si>
    <t>SR0462-000</t>
  </si>
  <si>
    <t>Emtricitabine/tenofovir disoproxil fumarate</t>
  </si>
  <si>
    <t>HIV-1 infection, pre-exposure prophylaxis</t>
  </si>
  <si>
    <t>SR0479-000</t>
  </si>
  <si>
    <t>SR0063-000</t>
  </si>
  <si>
    <t>SF0138-000</t>
  </si>
  <si>
    <t>PC0184-000</t>
  </si>
  <si>
    <t>Non-Hodgkin’s Lymphoma and Chronic Lymphocytic Leukemia</t>
  </si>
  <si>
    <t>Aclidinium bromide</t>
  </si>
  <si>
    <t>Chronic Obstructive Pulmonary Disease</t>
  </si>
  <si>
    <t>SR0346-000</t>
  </si>
  <si>
    <t>Almirall Canada Ltd.</t>
  </si>
  <si>
    <t>tucatinib</t>
  </si>
  <si>
    <t>PC0243-000</t>
  </si>
  <si>
    <t>Telmisartan/ Amlodipine</t>
  </si>
  <si>
    <t>SR0245-000</t>
  </si>
  <si>
    <t>Telmisartan / Amlodipine</t>
  </si>
  <si>
    <t>SR0207-000</t>
  </si>
  <si>
    <t>Lapatinib</t>
  </si>
  <si>
    <t>PC0019-000</t>
  </si>
  <si>
    <t>250 mg</t>
  </si>
  <si>
    <t>In combination with letrozole for the treatment of postmenopausal patients with hormone receptor positive metastatic breast cancer, whose tumours overexpress the ErbB2 (HER2) receptor, and who are suitable for endocrine therapy</t>
  </si>
  <si>
    <t>natalizumab</t>
  </si>
  <si>
    <t>SR0687-000</t>
  </si>
  <si>
    <t>Biogen Canada, Inc.</t>
  </si>
  <si>
    <t>Natalizumab</t>
  </si>
  <si>
    <t>SR0133-000</t>
  </si>
  <si>
    <t>SR0082-000</t>
  </si>
  <si>
    <t>Febuxostat</t>
  </si>
  <si>
    <t>Gout</t>
  </si>
  <si>
    <t>SR0213-000</t>
  </si>
  <si>
    <t>Indacaterol/glycopyrronium</t>
  </si>
  <si>
    <t>SR0369-000</t>
  </si>
  <si>
    <t>Paroxysmal nocturnal hemoglobinuria</t>
  </si>
  <si>
    <t>SR0700-000</t>
  </si>
  <si>
    <t>Dinutuximab</t>
  </si>
  <si>
    <t>Neuroblastoma</t>
  </si>
  <si>
    <t>PC0154-000</t>
  </si>
  <si>
    <t>3.5 mg / mL</t>
  </si>
  <si>
    <t>Neurological</t>
  </si>
  <si>
    <t>To be used in combination with GM-CSF, IL-2 and Retinoic acid (RA) for the treatment of pediatric patients with high-risk neuroblastoma who achieve at least a partial response to prior first-line multi-agent, multimodal therapy</t>
  </si>
  <si>
    <t>United Therapeutics Corp.</t>
  </si>
  <si>
    <t>dinutuximab</t>
  </si>
  <si>
    <t>Completed</t>
  </si>
  <si>
    <t>PC0222-000</t>
  </si>
  <si>
    <t>Selexipag</t>
  </si>
  <si>
    <t>SR0482-000</t>
  </si>
  <si>
    <t>Histrelin acetate</t>
  </si>
  <si>
    <t>SR0078-000</t>
  </si>
  <si>
    <t>icosapent ethyl</t>
  </si>
  <si>
    <t>Ischemic events in statin-treated patients</t>
  </si>
  <si>
    <t>SR0619-000</t>
  </si>
  <si>
    <t>HLS Therapeutics</t>
  </si>
  <si>
    <t>Panitumumab</t>
  </si>
  <si>
    <t>Left Sided Metastatic Colorectal Cancer (mCRC)</t>
  </si>
  <si>
    <t>PC0118-000</t>
  </si>
  <si>
    <t>In combination with chemotherapy, for the first-line treatment of mCRC patients with left sided primary tumours that express wild-type RAS</t>
  </si>
  <si>
    <t>PC0060-000</t>
  </si>
  <si>
    <t>20mg/mL (100mg vial)</t>
  </si>
  <si>
    <t>For the treatment of patients with WT RAS mCRC in first line treatment setting in combination with FOLFOX</t>
  </si>
  <si>
    <t>Bortezomib</t>
  </si>
  <si>
    <t>PC0016-000</t>
  </si>
  <si>
    <t>3.5mg/vial</t>
  </si>
  <si>
    <t>For the treatment of patients with multiple myeloma pre-autologous stem cell transplantation in combination therapy and post-autologous stem cell transplantation as monotherapy</t>
  </si>
  <si>
    <t>Janssen</t>
  </si>
  <si>
    <t>Cancer Care Ontario Hematology Disease Site Group</t>
  </si>
  <si>
    <t>sucroferric oxyhydroxide</t>
  </si>
  <si>
    <t>SR0571-000</t>
  </si>
  <si>
    <t>Vifor Fresenius Medical Care Renal Pharma</t>
  </si>
  <si>
    <t>patiromer</t>
  </si>
  <si>
    <t>Hyperkalemia, adults (chronic kidney disease)</t>
  </si>
  <si>
    <t>SR0665-000</t>
  </si>
  <si>
    <t>Otsuka Canada Pharmaceuticals Inc.</t>
  </si>
  <si>
    <t>tenofovir alafenamide</t>
  </si>
  <si>
    <t>Hepatitis B, chronic</t>
  </si>
  <si>
    <t>SR0537-000</t>
  </si>
  <si>
    <t>Venetoclax</t>
  </si>
  <si>
    <t>PC0087-000</t>
  </si>
  <si>
    <t>10 mg, 50 mg &amp; 100 mg tablets</t>
  </si>
  <si>
    <t>For the treatment of patients with chronic lymphocytic leukemia (CLL) who have received at least one prior therapy and have a 17p deletion</t>
  </si>
  <si>
    <t>AbbVie Corporation requested a voluntary withdrawal of the pCODR 10087 Venetoclax (Venclexta) for CLL Submission.  As per pCODR Procedures B3.1.6.2 b), the pCODR Provincial Advisory Group has agreed to the request to withdraw and decided to not continue the review as a PAG Submission. Please note that as per pCODR Procedures, Section B.6.2, if a submission is withdrawn but a pERC Initial Recommendation has been made, the pCODR program will continue to publically post the pERC Initial Recommendation.</t>
  </si>
  <si>
    <t>venetoclax</t>
  </si>
  <si>
    <t>PC0238-000</t>
  </si>
  <si>
    <t>Venetoclax Obinutuzumab</t>
  </si>
  <si>
    <t>Obinutuzumab for CLL</t>
  </si>
  <si>
    <t>PC0212-000</t>
  </si>
  <si>
    <t>10 mg, 50 mg and 100 mg</t>
  </si>
  <si>
    <t>Venetoclax (VENCLEXTA) in combination with obinutuzumab for the treatment of adult patients with previously untreated chronic lymphocytic leukemia (CLL) who are fludarabine ineligible.</t>
  </si>
  <si>
    <t>PC0105-000</t>
  </si>
  <si>
    <t>10mg, 50 mg &amp; 100mg tablet</t>
  </si>
  <si>
    <t>As monotherapy for the treatment of patients with chronic lymphocytic leukemia (CLL) who have received at least one prior therapy and who have failed a B-Cell Receptor Inhibitor (BCRi)</t>
  </si>
  <si>
    <t>PC0239-000</t>
  </si>
  <si>
    <t>PC0162-000</t>
  </si>
  <si>
    <t>In combination with rituximab (V+R) is indicated for the treatment of adult patients with chronic lymphocytic leukemia (CLL) who have received at least one prior therapy</t>
  </si>
  <si>
    <t>Severe vernal keratoconjunctivitis, pediatric (≥4 years)</t>
  </si>
  <si>
    <t>SR0615-000</t>
  </si>
  <si>
    <t>Santen Canada Inc.</t>
  </si>
  <si>
    <t>Abemaciclib</t>
  </si>
  <si>
    <t>PC0161-000</t>
  </si>
  <si>
    <t>50 mg, 100 mg, 150 mg and 200 mg</t>
  </si>
  <si>
    <t>For the treatment of hormone receptor (HR)-positive, human epidermal growth factor receptor 2 (HER2)-negative advanced or metastatic breast cancer: • In combination with an aromatase inhibitor in postmenopausal women as initial endocrine based therapy. • In combination with fulvestrant in women with disease progression following endocrine therapy. Pre- or perimenopausal women must also be treated with a gonadotropin-releasing hormone agonist.</t>
  </si>
  <si>
    <t>Solifenacin succinate</t>
  </si>
  <si>
    <t>SR0155-000</t>
  </si>
  <si>
    <t>SR0070-000</t>
  </si>
  <si>
    <t>Solifenacin succinate / tamsulosin hydrochloride</t>
  </si>
  <si>
    <t>SR0424-000</t>
  </si>
  <si>
    <t>Voriconazole</t>
  </si>
  <si>
    <t>Aspergillosis, Invasive</t>
  </si>
  <si>
    <t>SR0023-000</t>
  </si>
  <si>
    <t>Candidemia</t>
  </si>
  <si>
    <t>SR0056-000</t>
  </si>
  <si>
    <t>SR0020-000</t>
  </si>
  <si>
    <t>perindopril arginine / amlodipine</t>
  </si>
  <si>
    <t>Hypertension, essential</t>
  </si>
  <si>
    <t>SR0490-000</t>
  </si>
  <si>
    <t>eluxadoline</t>
  </si>
  <si>
    <t>Irritable bowel syndrome with diarrhea</t>
  </si>
  <si>
    <t>SR0560-000</t>
  </si>
  <si>
    <t>Allergan Pharma Co.</t>
  </si>
  <si>
    <t>Liraglutide</t>
  </si>
  <si>
    <t>SR0505-000</t>
  </si>
  <si>
    <t>SR0217-000</t>
  </si>
  <si>
    <t>Boceprevir</t>
  </si>
  <si>
    <t>SF0303-000</t>
  </si>
  <si>
    <t>SR0231-000</t>
  </si>
  <si>
    <t>SF0312-000</t>
  </si>
  <si>
    <t>vilazodone</t>
  </si>
  <si>
    <t>Elosulfase alfa</t>
  </si>
  <si>
    <t>Mucopolysaccharidosis IVA (Morquio A syndrome)</t>
  </si>
  <si>
    <t>SR0456-000</t>
  </si>
  <si>
    <t>SR0389-000</t>
  </si>
  <si>
    <t>Lacosamide</t>
  </si>
  <si>
    <t>SR0212-000</t>
  </si>
  <si>
    <t>Tenofovir disoproxil fumarate</t>
  </si>
  <si>
    <t>SR0040-000</t>
  </si>
  <si>
    <t>SR0008-000</t>
  </si>
  <si>
    <t>SF0139-000</t>
  </si>
  <si>
    <t>SR0148-000</t>
  </si>
  <si>
    <t>Dienogest</t>
  </si>
  <si>
    <t>Pain, pelvic pain associated with endometriosis</t>
  </si>
  <si>
    <t>SR0255-000</t>
  </si>
  <si>
    <t>larotrectinib</t>
  </si>
  <si>
    <t>Solid tumours with NTRK gene fusion</t>
  </si>
  <si>
    <t>PC0221-000</t>
  </si>
  <si>
    <t>Larotrectinib</t>
  </si>
  <si>
    <t>NTRKplus solid tumours</t>
  </si>
  <si>
    <t>PC0159-000</t>
  </si>
  <si>
    <t>25 mg, 100 mg &amp; 20 mg/mL</t>
  </si>
  <si>
    <t>For the treatment of adult and pediatric patients with locally advanced or metastatic solid tumours harbouring a Neurotrophic Tyrosine Receptor Kinase (NTRK) gene fusion. Additional criteria: Age ≥ 1 month; ECOG score of ≤3; Tumour harbouring NTRK1, NTRK2 or NTRK3 gene fusion confirmed by a validated diagnostic testing method; Patients eligible for larotrectinib should have no satisfactory alternative treatments or have progressed following treatment</t>
  </si>
  <si>
    <t>Dacomitinib</t>
  </si>
  <si>
    <t>PC0129-000</t>
  </si>
  <si>
    <t>15 mg, 30 mg &amp; 45 mg</t>
  </si>
  <si>
    <t>For the first-line treatment of patients with locally advanced or metastatic non‑small cell lung cancer (NSCLC) with epidermal growth factor receptor (EGFR)-activating mutations.</t>
  </si>
  <si>
    <t>cabotegravir sodium cabotegravir-rilpivirine</t>
  </si>
  <si>
    <t>SR0628-000</t>
  </si>
  <si>
    <t>Ambrisentan</t>
  </si>
  <si>
    <t>SR0142-000</t>
  </si>
  <si>
    <t>von Willebrand Factor [recombinant]</t>
  </si>
  <si>
    <t>von Willebrand disease, adults, treatment and perioperative management</t>
  </si>
  <si>
    <t>ST0639-000</t>
  </si>
  <si>
    <t>Shire Pharma Canada ULC, now part of Takeda</t>
  </si>
  <si>
    <t>sofosbuvir velpatasvir voxilaprevir</t>
  </si>
  <si>
    <t>SR0529-000</t>
  </si>
  <si>
    <t>Pazopanib hydrochloride</t>
  </si>
  <si>
    <t>PC0022-000</t>
  </si>
  <si>
    <t>First-line therapy in patients with metastatic renal cell (clear cell) carcinoma with good performance status (ECOG 0-1)</t>
  </si>
  <si>
    <t>PC0000-000</t>
  </si>
  <si>
    <t>First-line therapy in patients with metastatic renal cell (clear cell) carcinoma who have a Memorial Sloan Kettering Prognostic Score of Favourable or Intermediate Risk</t>
  </si>
  <si>
    <t>Pazopanib Hydrochloride</t>
  </si>
  <si>
    <t>Soft Tissue Sarcoma</t>
  </si>
  <si>
    <t>PC0009-000</t>
  </si>
  <si>
    <t>Adult patients with selective subtypes of advanced Soft Tissue Sarcoma (STS) who have received prior chemotherapy for metastatic disease or who have progressed within 12 months after (neo)adjuvant therapy. Funding is not requested for patients with GIST and adipocytic soft tissue sarcomas.</t>
  </si>
  <si>
    <t>Velaglucerase alfa</t>
  </si>
  <si>
    <t>Gaucher Disease</t>
  </si>
  <si>
    <t>SR0215-000</t>
  </si>
  <si>
    <t>Shire Human Genetic Therapies</t>
  </si>
  <si>
    <t>tafamidis</t>
  </si>
  <si>
    <t>transthyretin-mediated amyloidosis</t>
  </si>
  <si>
    <t>SR0625-000</t>
  </si>
  <si>
    <t>Lisdexamfetamine dimesylate</t>
  </si>
  <si>
    <t>SR0171-000</t>
  </si>
  <si>
    <t>daunorubicin and cytarabine</t>
  </si>
  <si>
    <t>PC0237-000</t>
  </si>
  <si>
    <t>Jazz Pharmaceuticals Canada Inc.</t>
  </si>
  <si>
    <t>latanoprostene bunod</t>
  </si>
  <si>
    <t>Open-angle glaucoma or ocular hypertension</t>
  </si>
  <si>
    <t>SR0590-000</t>
  </si>
  <si>
    <t>trientine hydrochloride</t>
  </si>
  <si>
    <t>SR0696-000</t>
  </si>
  <si>
    <t>Waymade PLC</t>
  </si>
  <si>
    <t>Crizotinib</t>
  </si>
  <si>
    <t>PC0017-000</t>
  </si>
  <si>
    <t>200mg and 250mg</t>
  </si>
  <si>
    <t>As monotherapy for use in patients with anaplastic lymphoma kinase (ALK)-positive advanced (not amenable to curative therapy) or metastatic non-small cell lung cancer (NSCLC)</t>
  </si>
  <si>
    <t>As per pCODR Procedures D3.2, due to the short time frame between the original submission and the resubmission, pCODR will not be seeking new patient advocacy group input. The most recent patient advocacy group input received on the original submission related to Crizotinib (Xalkori) for Advanced NSCLC will be provided to the Review Team to incorporate into the Clinical and Economic Guidance Reports and to pERC for the purposes of their deliberation.</t>
  </si>
  <si>
    <t>ROS1-positive advanced non-small cell lung cancer (NSCLC)</t>
  </si>
  <si>
    <t>PC0151-000</t>
  </si>
  <si>
    <t>200 mg &amp; 250 mg</t>
  </si>
  <si>
    <t>As a single agent as first-line treatment for patients with ROS1-positive advanced non-small cell lung cancer (NSCLC)</t>
  </si>
  <si>
    <t>Cancer Care Ontario Lung Cancer Drug Advisory Committee</t>
  </si>
  <si>
    <t>First Line ALK Positive Advanced NSCLC</t>
  </si>
  <si>
    <t>PC0054-000</t>
  </si>
  <si>
    <t>200mg and 250mg capsules</t>
  </si>
  <si>
    <t>As monotherapy for use in patients with anaplastic lymphoma kinase (ALK)-positive advanced (not amenable to curative therapy) or metastatic non-small cell lung cancer (NSCLC). The study PROFILE1014 will provide data specific to the efficacy and safety of Xalkori for the first-line treatment of ALK-positive advanced NSCLC patient population.</t>
  </si>
  <si>
    <t>Advanced Non-Small Cell Lung Cancer</t>
  </si>
  <si>
    <t>PC0008-000</t>
  </si>
  <si>
    <t>Patients with anaplastic lymphoma kinase-(ALK) positive advanced non-small cell lung cancer (NSCLC).</t>
  </si>
  <si>
    <t>Rivaroxaban</t>
  </si>
  <si>
    <t>Venous thromboembolism, prevention</t>
  </si>
  <si>
    <t>SF0239-000</t>
  </si>
  <si>
    <t>SF0321-00</t>
  </si>
  <si>
    <t>Venous thromboembolic events, pulmonary embolism</t>
  </si>
  <si>
    <t>SR0327-000</t>
  </si>
  <si>
    <t>rivaroxaban</t>
  </si>
  <si>
    <t>Prevention of stroke and cardiovascular events in coronary and peripheral artery disease.</t>
  </si>
  <si>
    <t>SR0569-000</t>
  </si>
  <si>
    <t>Deep-vein thrombosis without symptomatic pulmonary embolism</t>
  </si>
  <si>
    <t>SR0271-000</t>
  </si>
  <si>
    <t>SF0295-000</t>
  </si>
  <si>
    <t>SR0134-000</t>
  </si>
  <si>
    <t>Atrial fibrillation, stroke prevention</t>
  </si>
  <si>
    <t>SR0257-000</t>
  </si>
  <si>
    <t>Tofacitinib</t>
  </si>
  <si>
    <t>SR0380-000</t>
  </si>
  <si>
    <t>tofacitinib</t>
  </si>
  <si>
    <t>SR0572-000</t>
  </si>
  <si>
    <t>SR0575-000</t>
  </si>
  <si>
    <t>Clostridium botulinum neurotoxin type A, free from complexing proteins</t>
  </si>
  <si>
    <t>Blepharospasm</t>
  </si>
  <si>
    <t>SR0168-000</t>
  </si>
  <si>
    <t>Merz Pharmaceuticals GmbH</t>
  </si>
  <si>
    <t>Spasticity, Post-stroke</t>
  </si>
  <si>
    <t>SR0193-000</t>
  </si>
  <si>
    <t>Cervical Dystonia</t>
  </si>
  <si>
    <t>SR0192-000</t>
  </si>
  <si>
    <t>incobotulinumtoxinA</t>
  </si>
  <si>
    <t>Chronic sialorrhea associated with neurological disorders</t>
  </si>
  <si>
    <t>SR0678-000</t>
  </si>
  <si>
    <t>Merz Pharmaceuticals GMBH</t>
  </si>
  <si>
    <t>telotristat</t>
  </si>
  <si>
    <t>carcinoid syndrome</t>
  </si>
  <si>
    <t>SR0580-000</t>
  </si>
  <si>
    <t>Denosumab  (Drug Plan Submission)</t>
  </si>
  <si>
    <t>Prevention of skeletal-related events due to bone metastases from breast cancer</t>
  </si>
  <si>
    <t>SR0433-000</t>
  </si>
  <si>
    <t>Prevention of skeletal-related events due to bone metastases from other solid tumors (excluding breast and prostate cancer), including non-small cell lung cancer</t>
  </si>
  <si>
    <t>SR0433-001</t>
  </si>
  <si>
    <t>Prevention of skeletal-related events due to bone metastases from solid tumours</t>
  </si>
  <si>
    <t>SR0235-000</t>
  </si>
  <si>
    <t>Collagenase clostridium histolyticum</t>
  </si>
  <si>
    <t>Dupuytren’s contracture</t>
  </si>
  <si>
    <t>SR0287-000</t>
  </si>
  <si>
    <t>Auxilium Pharmaceuticals, Inc. &amp; Actelion Pharmaceuticals Canada Inc.</t>
  </si>
  <si>
    <t>dapagliflozin/metformin hydrochloride</t>
  </si>
  <si>
    <t>SR0468-000</t>
  </si>
  <si>
    <t>baloxavir marboxil</t>
  </si>
  <si>
    <t>Influenza</t>
  </si>
  <si>
    <t>Omalizumab</t>
  </si>
  <si>
    <t>Asthma, severe persistent</t>
  </si>
  <si>
    <t>SR0045-000</t>
  </si>
  <si>
    <t>Omalizumab (Drug Plan Submission)</t>
  </si>
  <si>
    <t>SR0457-000</t>
  </si>
  <si>
    <t>SR0035-000</t>
  </si>
  <si>
    <t>Chronic idiopathic urticaria</t>
  </si>
  <si>
    <t>SR0398-000</t>
  </si>
  <si>
    <t>Gilteritinib</t>
  </si>
  <si>
    <t>PC0202 -000</t>
  </si>
  <si>
    <t>40mg</t>
  </si>
  <si>
    <t>For the treatment of adult patients who have relapsed or refractory acute myeloid leukemia (AML) with a FMS-like tyrosine kinase 3 (FLT3) mutation as detected by a validated test.</t>
  </si>
  <si>
    <t>Enzalutamide</t>
  </si>
  <si>
    <t>Non-metastatic castration-resistant prostate cancer (nm-CRPC)</t>
  </si>
  <si>
    <t>PC0149-000</t>
  </si>
  <si>
    <t>High risk, non-metastatic castration-resistant prostate cancer</t>
  </si>
  <si>
    <t>mHSPC</t>
  </si>
  <si>
    <t>PC0209-000</t>
  </si>
  <si>
    <t>For the treatment of patients with metastatic castration sensitive prostate cancer</t>
  </si>
  <si>
    <t>Metastatic Castration Resistant Prostate Cancer</t>
  </si>
  <si>
    <t>PC0023-000</t>
  </si>
  <si>
    <t>40 mg tablet</t>
  </si>
  <si>
    <t>For the treatment of patients with metastatic castration-resistant prostate cancer, who have previously received docetaxel therapy</t>
  </si>
  <si>
    <t>First Line Metastatic Castration-Resistant Prostate Cancer</t>
  </si>
  <si>
    <t>PC0044-000</t>
  </si>
  <si>
    <t>40mg capsule</t>
  </si>
  <si>
    <t>Treatment of patients with metastatic castration-resistant prostrate cancer (mCRPC) who are asymptomatic or mildly symptomatic after failure of androgen deprivation therapy who have not received prior chemotherapy</t>
  </si>
  <si>
    <t>The Manufacturer had advised that Category 2 submission requirements for a pre-NOC submission were not available to complete the submission for an April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</si>
  <si>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insulin degludec + liraglutide</t>
  </si>
  <si>
    <t>SR0599-000</t>
  </si>
  <si>
    <t>Sodium oxybate</t>
  </si>
  <si>
    <t>Narcolepsy</t>
  </si>
  <si>
    <t>SR0107-000</t>
  </si>
  <si>
    <t>Valeant Canada Ltd.</t>
  </si>
  <si>
    <t>SR0141-000</t>
  </si>
  <si>
    <t>Drospirenone /ethinyl estradiol</t>
  </si>
  <si>
    <t>Contraceptive, oral</t>
  </si>
  <si>
    <t>SR0029-000</t>
  </si>
  <si>
    <t>Berlex Canada Inc.</t>
  </si>
  <si>
    <t>Ipilimumab</t>
  </si>
  <si>
    <t>First Line Advanced Melanoma</t>
  </si>
  <si>
    <t>PC0042-000</t>
  </si>
  <si>
    <t>5mg/mL</t>
  </si>
  <si>
    <t>For the first-line treatment of adult patients with advanced (unresectable or metastatic) melanoma</t>
  </si>
  <si>
    <t>PC0003-000</t>
  </si>
  <si>
    <t>5 mg/mL</t>
  </si>
  <si>
    <t>Treatment of advanced melanoma (unresectable Stage III and IV melanoma) in patients who have received prior systemic therapy</t>
  </si>
  <si>
    <t>Trabectedin</t>
  </si>
  <si>
    <t>Metastatic Liposarcoma or Leiomyosarcoma</t>
  </si>
  <si>
    <t>PC0071-000</t>
  </si>
  <si>
    <t>1mg/vial</t>
  </si>
  <si>
    <t>For the treatment of patients with metastatic liposarcoma or leiomyosarcoma after failure of prior anthracycline and ifosfamide chemotherapy</t>
  </si>
  <si>
    <t>PC0035-000</t>
  </si>
  <si>
    <t>In combination with irinotecan-fluoropyrimidine (FOLFIRI) based therapy for patients with metastatic colorectal cancer previously treated with an oxaliplatin-containing regimen</t>
  </si>
  <si>
    <t>Miglustat</t>
  </si>
  <si>
    <t>SR0012-000</t>
  </si>
  <si>
    <t>Rifaximin</t>
  </si>
  <si>
    <t>Hepatic encephalopathy</t>
  </si>
  <si>
    <t>SR0388-000</t>
  </si>
  <si>
    <t>Salix Pharmaceuticals Inc.</t>
  </si>
  <si>
    <t>Niraparib</t>
  </si>
  <si>
    <t>PC0203-000</t>
  </si>
  <si>
    <t>As monotherapy for the maintenance treatment of female adult patients with recurrent epithelial ovarian, fallopian tube, or primary peritoneal cancer who are in a complete or partial response to platinum-based chemotherapy.</t>
  </si>
  <si>
    <t>First Line OC</t>
  </si>
  <si>
    <t>PC0224-000</t>
  </si>
  <si>
    <t>Maintenance treatment of adult patients with advanced epithelial ovarian, fallopian tube, or primary peritoneal cancer who are in a complete or partial response to first-line platinum-based chemotherapy</t>
  </si>
  <si>
    <t>Vemurafenib</t>
  </si>
  <si>
    <t>PC0006-000</t>
  </si>
  <si>
    <t>240 mg</t>
  </si>
  <si>
    <t>Treatment of BRAF V600 mutation-positive unresectable or metastatic melanoma</t>
  </si>
  <si>
    <t>Ziprasidone hydrochloride</t>
  </si>
  <si>
    <t>SR0124-000</t>
  </si>
  <si>
    <t>Alpha1-proteinase inhibitor (Human)</t>
  </si>
  <si>
    <t>Severe Alpha1-proteinase inhibitor deficiency</t>
  </si>
  <si>
    <t>ST0702-000</t>
  </si>
  <si>
    <t>Mometasone/formoterol</t>
  </si>
  <si>
    <t>SF0281-000</t>
  </si>
  <si>
    <t>Mometasone furoate and formoterol</t>
  </si>
  <si>
    <t>SR0225-000</t>
  </si>
  <si>
    <t>Elbasvir/grazoprevir</t>
  </si>
  <si>
    <t>SR0454-000</t>
  </si>
  <si>
    <t>ozanimod</t>
  </si>
  <si>
    <t>Multiple Sclerosis, relapsing - remitting</t>
  </si>
  <si>
    <t>SR0652-000</t>
  </si>
  <si>
    <t>Ibritumomab tiuxetan</t>
  </si>
  <si>
    <t>Daclizumab beta</t>
  </si>
  <si>
    <t>SR0508-000</t>
  </si>
  <si>
    <t>onasemnogene abeparvovec</t>
  </si>
  <si>
    <t>Spinal muscular atrophy (SMA), pediatrics</t>
  </si>
  <si>
    <t>SG0649-000</t>
  </si>
  <si>
    <t>vorinostat</t>
  </si>
  <si>
    <t>Cutaneous T-cell lymphoma</t>
  </si>
  <si>
    <t>Idelalisib</t>
  </si>
  <si>
    <t>PC0075-000</t>
  </si>
  <si>
    <t>100mg &amp; 150mg Tablets</t>
  </si>
  <si>
    <t>For the treatment of patients with follicular lymphoma who have received at least two prior systemic therapies and are refractory to both rituximab and an alkylating agent</t>
  </si>
  <si>
    <t>Gilead Sciences, Inc.</t>
  </si>
  <si>
    <t>Chronic lymphocytic leukemia</t>
  </si>
  <si>
    <t>PC0057-000</t>
  </si>
  <si>
    <t>100mg and 150mg tablets</t>
  </si>
  <si>
    <t>In combination with rituximab for the treatment of patients with relapsed chronic lymphocytic leukemia (CLL)</t>
  </si>
  <si>
    <t>Ceritinib</t>
  </si>
  <si>
    <t>Metastatic Non-Small Cell Lung Cancer</t>
  </si>
  <si>
    <t>PC0062-000</t>
  </si>
  <si>
    <t>For treatment as monotherapy in patients with anaplastic lymphoma kinase (ALK)-positive locally advanced (not amenable to curative therapy) or metastatic non-small cell lung cancer (NSCLC) who have progressed on or who were intolerant to crizotinib.</t>
  </si>
  <si>
    <t>metastatic non-small cell lung cancer</t>
  </si>
  <si>
    <t>PC0094-000</t>
  </si>
  <si>
    <t>For treatment as monotherapy in patients with anaplastic lymphoma kinase (ALK)-positive locally advanced (not amenable to curative therapy) or metastatic non-small cell lung cancer (NSCLC) who have progressed on or who were intolerant to crizotinib</t>
  </si>
  <si>
    <t>Abiraterone</t>
  </si>
  <si>
    <t>PC0166-000</t>
  </si>
  <si>
    <t>250 mg &amp; 500 mg</t>
  </si>
  <si>
    <t>Newly diagnosed with metastatic prostate cancer without small-cell histologic features (may have received prior surgery or radiation therapy for local disease or palliative therapy);  Less than 3 months of androgen deprivation therapy for metastatic disease (may have received prior adjuvant/neoadjuvant hormone therapy);  Eligible for abiraterone therapy</t>
  </si>
  <si>
    <t>BC Cancer Agency</t>
  </si>
  <si>
    <t>BC Cancer Agency has requested a voluntary withdrawal of the pCODR 10166 Abiraterone (Zytiga) for PC Submission. As per pCODR Procedures B3.1.6.2 b), the pCODR Provincial Advisory Group has agreed to the request to withdraw and decided to not continue the review as a PAG Submission.</t>
  </si>
  <si>
    <t>Abiraterone acetate</t>
  </si>
  <si>
    <t>PC0028-000</t>
  </si>
  <si>
    <t>250 mg tablet</t>
  </si>
  <si>
    <t>For asymptomatic or mildly symptomatic metastatic castration-resistant prostate cancer (mCRPC) patients after failure of ADT (have not received prior chemotherapy)</t>
  </si>
  <si>
    <t>Prostate Cancer Resubmission</t>
  </si>
  <si>
    <t>PC0201-000</t>
  </si>
  <si>
    <t>Newly diagnosed high-risk metastatic castration sensitive prostate cancer without small-cell histologic features. Patients required to have at least two of the three following high-risk factors: Gleason score of 8 or more, at least 3 bone lesions, and presence of visceral metastasis. Less than 3 months of androgen deprivation therapy (or orchiectomy) for metastatic disease. Eligible for abiraterone therapy.</t>
  </si>
  <si>
    <t>Voluntarily withdrawn by the sponsor on April 6, 2021</t>
  </si>
  <si>
    <t>Pain, acute</t>
  </si>
  <si>
    <t>SR0086-000</t>
  </si>
  <si>
    <t>SR0093-000</t>
  </si>
  <si>
    <t>Colorectal Cancer</t>
  </si>
  <si>
    <t>In Progress</t>
  </si>
  <si>
    <t>PH0005-000</t>
  </si>
  <si>
    <t>B-Cell Precursor Acute Lymphoblastic Leukemia</t>
  </si>
  <si>
    <t>PH0002-000</t>
  </si>
  <si>
    <t>PH0004-000</t>
  </si>
  <si>
    <t>PH0003-000</t>
  </si>
  <si>
    <t>Product</t>
  </si>
  <si>
    <t>Status</t>
  </si>
  <si>
    <t>Indication</t>
  </si>
  <si>
    <t>pCPA File Number</t>
  </si>
  <si>
    <t>Sponsor/Manufacturer</t>
  </si>
  <si>
    <t>CADTH Project Number</t>
  </si>
  <si>
    <t>pCPA Engagement Letter Issued</t>
  </si>
  <si>
    <t>Negotiation Process Concluded</t>
  </si>
  <si>
    <t>Alnylam Pharmaceuticals Canada ULC</t>
  </si>
  <si>
    <t>Under consideration for negotiation</t>
  </si>
  <si>
    <t>acute hepatic porphyria</t>
  </si>
  <si>
    <t>21627</t>
  </si>
  <si>
    <t>Not Applicable</t>
  </si>
  <si>
    <t>Merz Therapeutics Canada</t>
  </si>
  <si>
    <t>chronic sialorrhea associated with neurological disorders</t>
  </si>
  <si>
    <t>21621</t>
  </si>
  <si>
    <t>21615</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</si>
  <si>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</si>
  <si>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21608</t>
  </si>
  <si>
    <t>chronic weight management</t>
  </si>
  <si>
    <t>21602</t>
  </si>
  <si>
    <t>For the treatment of adult and pediatric patients with solid tumours that: have a neurotrophic tyrosine receptor kinase (NTRK) gene fusion without a known acquired resistance mutation; are metastatic or where surgical resection is likely to result in severe morbidity, and; have no satisfactory treatment options.</t>
  </si>
  <si>
    <t>21598</t>
  </si>
  <si>
    <t>ASTRAZENECA CANADA INC</t>
  </si>
  <si>
    <t>21595</t>
  </si>
  <si>
    <t>Concluded with an LOI</t>
  </si>
  <si>
    <t>21591</t>
  </si>
  <si>
    <t>For the treatment of adults with newly diagnosed therapy-related acute myeloid leukaemia (t-AML) or AML with myelodysplasia-related changes (AML-MRC).</t>
  </si>
  <si>
    <t>21588</t>
  </si>
  <si>
    <t>For the treatment of adult patients with relapsed or refractory (r/r) mantle cell lymphoma (MCL) who have received treatment with a Bruton’s tyrosine kinase inhibitor (BTKi)</t>
  </si>
  <si>
    <t>21582</t>
  </si>
  <si>
    <t>HOFFMANN-LA ROCHE LIMITED</t>
  </si>
  <si>
    <t>Active Negotiation</t>
  </si>
  <si>
    <t>21578</t>
  </si>
  <si>
    <t>Psoriatic Arthritis</t>
  </si>
  <si>
    <t>21574</t>
  </si>
  <si>
    <t>Diabetes Mellitus, Type 1 &amp; 2</t>
  </si>
  <si>
    <t>21571</t>
  </si>
  <si>
    <t>eosinophic esophagitis (maintenance)</t>
  </si>
  <si>
    <t>21567</t>
  </si>
  <si>
    <t>Negotiations were not pursued</t>
  </si>
  <si>
    <t>Venclexta in combination with low-dose cytarabine is indicated for the treatment of patients with newly diagnosed acute myeloid leukemia (AML) who are 75 years or older, or who have comorbidities that preclude use of intensive induction chemotherapy</t>
  </si>
  <si>
    <t>21564</t>
  </si>
  <si>
    <t>in combination with azacitidine for the treatment of patients with newly diagnosed acute myeloid leukemia (AML) who are 75 years or older, or who have comorbidities that preclude use of intensive induction chemotherapy</t>
  </si>
  <si>
    <t>21561</t>
  </si>
  <si>
    <t>21558</t>
  </si>
  <si>
    <t>OPDIVO, in combination with ipilimumab, is indicated for the treatment of adult patients with unresectable malignant pleural mesothelioma (MPM) who have not received prior systemic therapy for MPM</t>
  </si>
  <si>
    <t>21557</t>
  </si>
  <si>
    <t>For the first line treatment of adult patients with unresectable or metastatic microsatellite instability-high (MSI-H) or mismatch repair deficient (dMMR) colorectal cancer (CRC)</t>
  </si>
  <si>
    <t>21553</t>
  </si>
  <si>
    <t>IMFINZI in combination with etoposide and either carboplatin or cisplatin is indicated for the first-line treatment of adult patients with extensive-stage small cell lung cancer (ES-SCLC)</t>
  </si>
  <si>
    <t>21550</t>
  </si>
  <si>
    <t>PFIZER CANADA ULC.</t>
  </si>
  <si>
    <t>Braftovi in combination with cetuximab, for the treatment of patients with metastatic colorectal cancer (mCRC) with a BRAF V600E mutation, as detected by a validated test, after prior therapy,</t>
  </si>
  <si>
    <t>21548</t>
  </si>
  <si>
    <t>PFIZER CANADA ULC</t>
  </si>
  <si>
    <t>Braftovi (encorafenib) and Mektovi (binimetinib), in combination, for the treatment of patients with unresectable or metastatic melanoma with a BRAF V600 mutation, as detected by a validated test</t>
  </si>
  <si>
    <t>21544</t>
  </si>
  <si>
    <t>United Therapeutics</t>
  </si>
  <si>
    <t>high-risk neuroblastoma patients in their first relapse or determination of refractory disease, in combination with irinotecan, temozolomide, and granulocyte macrophage colony-stimulating factor</t>
  </si>
  <si>
    <t>21540</t>
  </si>
  <si>
    <t>splenomegaly &amp;/or disease-related symptoms in adult patients with intermediate-2 or high-risk primary myelofibrosis, post-polycythemia vera myelofibrosis or post-essential thrombocythemia myelofibrosis, including patients previously exposed to ruxolitinib</t>
  </si>
  <si>
    <t>21527</t>
  </si>
  <si>
    <t>Relapsing-Remitting Multiple Sclerosis</t>
  </si>
  <si>
    <t>21521</t>
  </si>
  <si>
    <t>21518</t>
  </si>
  <si>
    <t>Multiple manufacturers</t>
  </si>
  <si>
    <t>21515</t>
  </si>
  <si>
    <t>hyperkalemia</t>
  </si>
  <si>
    <t>21512</t>
  </si>
  <si>
    <t>anemia associated with beta-thalassemia</t>
  </si>
  <si>
    <t>21506</t>
  </si>
  <si>
    <t>SR0669-00</t>
  </si>
  <si>
    <t>21501</t>
  </si>
  <si>
    <t>Non-small cell lung cancer: for the treatment of metastatic non-small cell lung cancer (NSCLC) with a BRAF V600 mutation and who have not received any prior anti-cancer therapy for metastatic disease</t>
  </si>
  <si>
    <t>21500</t>
  </si>
  <si>
    <t>21496</t>
  </si>
  <si>
    <t>KYE Pharmaceuticals</t>
  </si>
  <si>
    <t>Angina pectoris</t>
  </si>
  <si>
    <t>21489</t>
  </si>
  <si>
    <t>Ovarian Cancer: Maintenance treatment of adult patients with advanced epithelial ovarian, fallopian tube, or primary peritoneal cancer who are in a complete or partial response to first-line platinum-based chemotherapy</t>
  </si>
  <si>
    <t>21484</t>
  </si>
  <si>
    <t>Basal Cell Carcinoma (BCC): For the treatment of adult patients with histologically confirmed laBCC that is not amenable to radiation therapy or curative surgery</t>
  </si>
  <si>
    <t>21480</t>
  </si>
  <si>
    <t>Metastatic Colorectal Cancer (mCRC) Locally Advanced, Metastatic or Recurrent Non-Small Cell Lung Cancer (NSCLC) Platinum-Resistant Recurrent Epithelial Ovarian, Fallopian Tube and Primary Peritoneal Cancer Malignant Glioma (WHO Grade IV) - Glioblastoma</t>
  </si>
  <si>
    <t>21474</t>
  </si>
  <si>
    <t>In combo with bendamustine &amp; rituximab is indicated for the treatment of adult patients with relapsed or refractory DLBCL, not otherwise specified, who are not eligible for autologous stem cell transplant &amp; have received at least one prior therapy.</t>
  </si>
  <si>
    <t>21471</t>
  </si>
  <si>
    <t>naplastic Lymphoma Kinase Positive Non-Small Cell Lung Cancer; adult patients with anaplastic lymphoma kinase (ALK)-positive locally advanced (not amenable to curative therapy) or metastatic NSCLC previously untreated with an ALK inhibitor</t>
  </si>
  <si>
    <t>21467</t>
  </si>
  <si>
    <t>Monotherapy for the treatment of adult patients with mCRPC &amp; deleterious or suspected deleterious germline/somatic mutations in the HRR genes BRCA or ATM who have progressed following prior treatment with a NHA</t>
  </si>
  <si>
    <t>21464</t>
  </si>
  <si>
    <t>ROS1-positive Non-Small Cell Lung Cancer</t>
  </si>
  <si>
    <t>21461</t>
  </si>
  <si>
    <t>PC0206</t>
  </si>
  <si>
    <t>Lambert-Eaton myasthenic syndrome (LEMS)</t>
  </si>
  <si>
    <t>21457</t>
  </si>
  <si>
    <t>HOFFMANN-LA ROCHE LTD</t>
  </si>
  <si>
    <t>neuromyelitis optica spectrum disorders (NMOSD)</t>
  </si>
  <si>
    <t>21451</t>
  </si>
  <si>
    <t>osteoporosis</t>
  </si>
  <si>
    <t>21447</t>
  </si>
  <si>
    <t>21444</t>
  </si>
  <si>
    <t>Celltrion Healthcare Canada Ltd.</t>
  </si>
  <si>
    <t>Rheumatoid Arthritis</t>
  </si>
  <si>
    <t>21440</t>
  </si>
  <si>
    <t>Metastatic colorectal cancer (mCRC), locally advanced, metastatic or recurrent non-small cell lung Cancer (NSCLC), platinum-resistant recurrent epithelial ovarian, fallopian tube and primary peritoneal cancer, and glioblastoma</t>
  </si>
  <si>
    <t>21437</t>
  </si>
  <si>
    <t>EMD Serono a Division of EMD Inc. Canada</t>
  </si>
  <si>
    <t>21433</t>
  </si>
  <si>
    <t>PC0225</t>
  </si>
  <si>
    <t>Teva Canada Inc.</t>
  </si>
  <si>
    <t>prevention of migraine in adults</t>
  </si>
  <si>
    <t>21431</t>
  </si>
  <si>
    <t>First-line treatment of patients with metastatic or recurrent non-small cell lung cancer (NSCLC)</t>
  </si>
  <si>
    <t>21427</t>
  </si>
  <si>
    <t>21423</t>
  </si>
  <si>
    <t>Chronic Lymphocytic Leukemia (CLL) (previously untreated): With or without obinutuzumab, for the treatment of patients with previously untreated chronic lymphocytic leukemia (CLL) for whom a fludarabine-based regimen is inappropriate</t>
  </si>
  <si>
    <t>21416</t>
  </si>
  <si>
    <t>Chronic Lymphocytic Leukemia: As monotherapy for the treatment of patients with chronic lymphocytic leukemia (CLL) who have received at least one prior therapy.</t>
  </si>
  <si>
    <t>21413</t>
  </si>
  <si>
    <t>Parkinson's Disease</t>
  </si>
  <si>
    <t>21410</t>
  </si>
  <si>
    <t>21407</t>
  </si>
  <si>
    <t>Boehringer Ingelheim (Canada) Ltd. Ltee.</t>
  </si>
  <si>
    <t>Chronic fibrosing interstitial lung diseases</t>
  </si>
  <si>
    <t>21403</t>
  </si>
  <si>
    <t>SR0654</t>
  </si>
  <si>
    <t>21400</t>
  </si>
  <si>
    <t>21399</t>
  </si>
  <si>
    <t>21396</t>
  </si>
  <si>
    <t>21392</t>
  </si>
  <si>
    <t>21390</t>
  </si>
  <si>
    <t>pCODR 10217</t>
  </si>
  <si>
    <t>Head and Neck Squamous Cell Carcinoma (HNSCC)</t>
  </si>
  <si>
    <t>21386</t>
  </si>
  <si>
    <t>pCODR 10216</t>
  </si>
  <si>
    <t>21379</t>
  </si>
  <si>
    <t>21377</t>
  </si>
  <si>
    <t>In combination with obinutuzumab for the treatment of Chronic Lymphocytic Leukemia</t>
  </si>
  <si>
    <t>21375</t>
  </si>
  <si>
    <t>Hodgkin's Lymphoma</t>
  </si>
  <si>
    <t>21373</t>
  </si>
  <si>
    <t>pCODR 10214</t>
  </si>
  <si>
    <t>Primary Cutaneous Anaplastic Large Cell Lymphoma (or CD30- Expressing Mycosis Fungoides)</t>
  </si>
  <si>
    <t>21371</t>
  </si>
  <si>
    <t>pCODR 10213</t>
  </si>
  <si>
    <t>JANSSEN INC</t>
  </si>
  <si>
    <t>Major Depressive Disorder</t>
  </si>
  <si>
    <t>21368</t>
  </si>
  <si>
    <t>Minimal Residual Disease (MRD)-Positive B-Cell Precursor Acute Lymphoblastic Leukemia (BCP ALL)</t>
  </si>
  <si>
    <t>21365</t>
  </si>
  <si>
    <t>pCODR 10204</t>
  </si>
  <si>
    <t>Non-Hodgkin's Lymphoma (NHL), Chronic Lymphocytic Leukemia (CLL), Rheumatoid Arthritis (RA), Granulomatosis with Polyangitis (GPA), Microscopic Polyangitis (MPA)</t>
  </si>
  <si>
    <t>21362</t>
  </si>
  <si>
    <t>Deep vein thrombosis (treatment and prevention)</t>
  </si>
  <si>
    <t>21360</t>
  </si>
  <si>
    <t>Juno Pharmaceuticals Corp.</t>
  </si>
  <si>
    <t>21358</t>
  </si>
  <si>
    <t>febrile neutropenia in non-myeloid malignancies</t>
  </si>
  <si>
    <t>21350</t>
  </si>
  <si>
    <t>SANOFI-AVENTIS</t>
  </si>
  <si>
    <t>21348</t>
  </si>
  <si>
    <t>Elvium Life Sciences</t>
  </si>
  <si>
    <t>21346</t>
  </si>
  <si>
    <t>Indivior UK Limited</t>
  </si>
  <si>
    <t>Opioid drug dependence</t>
  </si>
  <si>
    <t>21343</t>
  </si>
  <si>
    <t>21340</t>
  </si>
  <si>
    <t>21337</t>
  </si>
  <si>
    <t>Inherited retinal disease</t>
  </si>
  <si>
    <t>21334</t>
  </si>
  <si>
    <t>21329</t>
  </si>
  <si>
    <t>Merck</t>
  </si>
  <si>
    <t>Rheumatoid arthritis, polyarticular juvenile idiopathic arthritis, psoriatic arthritis, ankylosing spondylitis, Crohn’s disease, ulcerative colitis, hidradenitis suppurativa, plaque psoriasis, uveitis</t>
  </si>
  <si>
    <t>21326</t>
  </si>
  <si>
    <t>Fresenius Kabi Canada Ltd.</t>
  </si>
  <si>
    <t>21324</t>
  </si>
  <si>
    <t>21322</t>
  </si>
  <si>
    <t>AMGEN CANADA INC</t>
  </si>
  <si>
    <t>21320</t>
  </si>
  <si>
    <t>21318</t>
  </si>
  <si>
    <t>Eosinophilic esophagitis</t>
  </si>
  <si>
    <t>21316</t>
  </si>
  <si>
    <t>21312</t>
  </si>
  <si>
    <t>MERCK CANADA INC</t>
  </si>
  <si>
    <t>prevention of pregnancy</t>
  </si>
  <si>
    <t>21309</t>
  </si>
  <si>
    <t>Alexion Pharma GMBH</t>
  </si>
  <si>
    <t>Myasthenia Gravis</t>
  </si>
  <si>
    <t>21306</t>
  </si>
  <si>
    <t>Ovarian Cancer: As monotherapy for the maintenance treatment of female adult patients with recurrent epithelial ovarian, fallopian tube, or primary peritoneal cancer who are in a complete or partial response to platinum-based chemotherapy</t>
  </si>
  <si>
    <t>21304</t>
  </si>
  <si>
    <t>pCODR 10203</t>
  </si>
  <si>
    <t>Astellas Pharma Inc.</t>
  </si>
  <si>
    <t>Metastatic Castration Sensitive Prostate Cancer</t>
  </si>
  <si>
    <t>21298</t>
  </si>
  <si>
    <t>pCODR 10209</t>
  </si>
  <si>
    <t>acquired thrombotic thrombocytopenic purpura (aTTP)</t>
  </si>
  <si>
    <t>21295</t>
  </si>
  <si>
    <t>Hoffmann-La Roche</t>
  </si>
  <si>
    <t>21290</t>
  </si>
  <si>
    <t>Non-Squamous Non-Small Cell Lung Cancer</t>
  </si>
  <si>
    <t>21289</t>
  </si>
  <si>
    <t>pCODR 10155</t>
  </si>
  <si>
    <t>NOVARTIS PHARMACEUTICALS CANADA INC</t>
  </si>
  <si>
    <t>migraine, chronic</t>
  </si>
  <si>
    <t>21286</t>
  </si>
  <si>
    <t>VIIV HEALTHCARE ULC</t>
  </si>
  <si>
    <t>21283</t>
  </si>
  <si>
    <t>Secondary progressive multiple sclerosis (SPMS)</t>
  </si>
  <si>
    <t>21280</t>
  </si>
  <si>
    <t>HLS THERAPEUTICS INC</t>
  </si>
  <si>
    <t>21276</t>
  </si>
  <si>
    <t>Concluded without agreement</t>
  </si>
  <si>
    <t>21272</t>
  </si>
  <si>
    <t>Neuromyelitis optica spectrum disorder (NMOSD)</t>
  </si>
  <si>
    <t>21270</t>
  </si>
  <si>
    <t>21266</t>
  </si>
  <si>
    <t>21264</t>
  </si>
  <si>
    <t>pCODR 10199</t>
  </si>
  <si>
    <t>Medexus Inc.</t>
  </si>
  <si>
    <t>21261</t>
  </si>
  <si>
    <t>21257</t>
  </si>
  <si>
    <t>pCODR 10202</t>
  </si>
  <si>
    <t>Teva Canada Limited</t>
  </si>
  <si>
    <t>21254</t>
  </si>
  <si>
    <t>21252</t>
  </si>
  <si>
    <t>pCODR 10194</t>
  </si>
  <si>
    <t>cystic fibrosis in patients with CFTR gating mutations or the R117H gating mutation</t>
  </si>
  <si>
    <t>21250</t>
  </si>
  <si>
    <t>21249</t>
  </si>
  <si>
    <t>Chronic weight management</t>
  </si>
  <si>
    <t>21248</t>
  </si>
  <si>
    <t>non-metastatic castrate resistant prostate cancer</t>
  </si>
  <si>
    <t>21244</t>
  </si>
  <si>
    <t>pCODR 10196</t>
  </si>
  <si>
    <t>Metastatic Castration-Sensitive Prostate Cancer</t>
  </si>
  <si>
    <t>21241</t>
  </si>
  <si>
    <t>pCODR 10200</t>
  </si>
  <si>
    <t>Ipsen Biopharmaceuticals</t>
  </si>
  <si>
    <t>21238</t>
  </si>
  <si>
    <t>pCODR 10186</t>
  </si>
  <si>
    <t>Ultragenyx Canada Inc.</t>
  </si>
  <si>
    <t>X-Linked Hypophosphatemia</t>
  </si>
  <si>
    <t>21235</t>
  </si>
  <si>
    <t>21228</t>
  </si>
  <si>
    <t>Atopic dermatitis</t>
  </si>
  <si>
    <t>21225</t>
  </si>
  <si>
    <t>Age-Related Macular Degeneration</t>
  </si>
  <si>
    <t>21223</t>
  </si>
  <si>
    <t>21220</t>
  </si>
  <si>
    <t>21218</t>
  </si>
  <si>
    <t>pCODR 10195</t>
  </si>
  <si>
    <t>Kaleo Inc</t>
  </si>
  <si>
    <t>For the emergency treatment of severe acute allergic reactions (anaphylaxis).</t>
  </si>
  <si>
    <t>21215</t>
  </si>
  <si>
    <t>21210</t>
  </si>
  <si>
    <t>21208</t>
  </si>
  <si>
    <t>Ankylosing spondylitis, plaque psoriasis, psoriatic arthritis, rheumatoid arthritis, Crohn’s disease and Ulcerative Colitis</t>
  </si>
  <si>
    <t>21207</t>
  </si>
  <si>
    <t>21205</t>
  </si>
  <si>
    <t>21203</t>
  </si>
  <si>
    <t>Deep-Vein Thrombosis (treatment), without Symptomatic Pulmonary Embolism</t>
  </si>
  <si>
    <t>21201</t>
  </si>
  <si>
    <t>early breast cancer/metastatic breast cancer/metastatic gastric cancer</t>
  </si>
  <si>
    <t>21197</t>
  </si>
  <si>
    <t>prophylaxis of organ rejection in allogenic kidney or liver transplant adult patients</t>
  </si>
  <si>
    <t>21196</t>
  </si>
  <si>
    <t>21195</t>
  </si>
  <si>
    <t>21194</t>
  </si>
  <si>
    <t>21193</t>
  </si>
  <si>
    <t>21192</t>
  </si>
  <si>
    <t>21191</t>
  </si>
  <si>
    <t>Subacute and chronic inflammatory joint diseases</t>
  </si>
  <si>
    <t>21190</t>
  </si>
  <si>
    <t>Taiho Pharma Canada Inc.</t>
  </si>
  <si>
    <t>metastatic Gastric Cancer</t>
  </si>
  <si>
    <t>21189</t>
  </si>
  <si>
    <t>pCODR 10197</t>
  </si>
  <si>
    <t>Rheumatoid arthritis, chronic lymphocytic leukemia, and non-Hodgkin’s lymphoma</t>
  </si>
  <si>
    <t>21188</t>
  </si>
  <si>
    <t>21186</t>
  </si>
  <si>
    <t>Gastroenteropancreatic neuroendocrine tumors (GEP-NETs)</t>
  </si>
  <si>
    <t>21185</t>
  </si>
  <si>
    <t>severe hypoglycemia</t>
  </si>
  <si>
    <t>21184</t>
  </si>
  <si>
    <t>21183</t>
  </si>
  <si>
    <t>Non-Small Cell Lung Cancer (ALK+)</t>
  </si>
  <si>
    <t>21182</t>
  </si>
  <si>
    <t>pCODR 10183</t>
  </si>
  <si>
    <t>21181</t>
  </si>
  <si>
    <t>pCODR 10193</t>
  </si>
  <si>
    <t>21180</t>
  </si>
  <si>
    <t>pCODR 10190</t>
  </si>
  <si>
    <t>renal cell carcinoma</t>
  </si>
  <si>
    <t>21179</t>
  </si>
  <si>
    <t>pCODR 10185</t>
  </si>
  <si>
    <t>Knight Therapeutics</t>
  </si>
  <si>
    <t>Hormone Receptor-Positive Breast Cancer</t>
  </si>
  <si>
    <t>21178</t>
  </si>
  <si>
    <t>10172</t>
  </si>
  <si>
    <t>21176</t>
  </si>
  <si>
    <t>Hereditary Angioedema</t>
  </si>
  <si>
    <t>21175</t>
  </si>
  <si>
    <t>Short Bowel Syndrome (SBS)</t>
  </si>
  <si>
    <t>21174</t>
  </si>
  <si>
    <t>Santen Incorporated</t>
  </si>
  <si>
    <t>severe vernal keratoconjunctivitis</t>
  </si>
  <si>
    <t>21173</t>
  </si>
  <si>
    <t>21172</t>
  </si>
  <si>
    <t>pCODR 10173</t>
  </si>
  <si>
    <t>21171</t>
  </si>
  <si>
    <t>early breast cancer</t>
  </si>
  <si>
    <t>21170</t>
  </si>
  <si>
    <t>10182</t>
  </si>
  <si>
    <t>21169</t>
  </si>
  <si>
    <t>pCODR 10189</t>
  </si>
  <si>
    <t>Squamous Non-Small Cell Lung Cancer</t>
  </si>
  <si>
    <t>21168</t>
  </si>
  <si>
    <t>10176</t>
  </si>
  <si>
    <t>For the treatment of the first-line treatment of patients with extensive stage small cell lung cancer (ES-SCLC) in combination with a platinum-based chemotherapy and etoposide. Maintenance Tecentriq should be continued until loss of clinical benefit or unacceptable toxicity</t>
  </si>
  <si>
    <t>21167</t>
  </si>
  <si>
    <t>21166</t>
  </si>
  <si>
    <t>10174</t>
  </si>
  <si>
    <t>21165</t>
  </si>
  <si>
    <t>21164</t>
  </si>
  <si>
    <t>21163</t>
  </si>
  <si>
    <t>Diabetic Macular Edema</t>
  </si>
  <si>
    <t>21162</t>
  </si>
  <si>
    <t>21161</t>
  </si>
  <si>
    <t>21160</t>
  </si>
  <si>
    <t>pCODR RFA 0002</t>
  </si>
  <si>
    <t>21159</t>
  </si>
  <si>
    <t>Hereditary Tyrosinemia Type 1</t>
  </si>
  <si>
    <t>21158</t>
  </si>
  <si>
    <t>hereditary transthyretin-mediated amyloidosis</t>
  </si>
  <si>
    <t>21157</t>
  </si>
  <si>
    <t>21156</t>
  </si>
  <si>
    <t>21155</t>
  </si>
  <si>
    <t>Neurotrophic Tyrosine Receptor Kinase (NTRK) Locally Advanced or Metastatic Solid Tumours</t>
  </si>
  <si>
    <t>21154</t>
  </si>
  <si>
    <t>pCODR 10159</t>
  </si>
  <si>
    <t>Multiple Myeloma (Relapsed)</t>
  </si>
  <si>
    <t>21153</t>
  </si>
  <si>
    <t>pCODR 10165</t>
  </si>
  <si>
    <t>21152</t>
  </si>
  <si>
    <t>pCODR 10144</t>
  </si>
  <si>
    <t>21151</t>
  </si>
  <si>
    <t>pCODR 10141</t>
  </si>
  <si>
    <t>Opioid Use Disorder</t>
  </si>
  <si>
    <t>21150</t>
  </si>
  <si>
    <t>SR0579</t>
  </si>
  <si>
    <t>Recordati Canada</t>
  </si>
  <si>
    <t>corneal cystine crystal deposits</t>
  </si>
  <si>
    <t>21149</t>
  </si>
  <si>
    <t>Cutaneous Squamous Cell Carcinoma</t>
  </si>
  <si>
    <t>21148</t>
  </si>
  <si>
    <t>pCODR 10187</t>
  </si>
  <si>
    <t>21147</t>
  </si>
  <si>
    <t>pCODR 10175</t>
  </si>
  <si>
    <t>Multiple Myeloma (newly diagnosed)</t>
  </si>
  <si>
    <t>21146</t>
  </si>
  <si>
    <t>pCODR 10148</t>
  </si>
  <si>
    <t>21144</t>
  </si>
  <si>
    <t>pCODR 10142</t>
  </si>
  <si>
    <t>21143</t>
  </si>
  <si>
    <t>pCODR 10167</t>
  </si>
  <si>
    <t>21142</t>
  </si>
  <si>
    <t>pCODR 10164</t>
  </si>
  <si>
    <t>21141</t>
  </si>
  <si>
    <t>pCODR 10161</t>
  </si>
  <si>
    <t>21140</t>
  </si>
  <si>
    <t>pCODR 10129</t>
  </si>
  <si>
    <t>Metastatic Urothelial Carcinoma (first line)</t>
  </si>
  <si>
    <t>21139</t>
  </si>
  <si>
    <t>pCODR 10177</t>
  </si>
  <si>
    <t>Melanoma adjuvant therapy</t>
  </si>
  <si>
    <t>21138</t>
  </si>
  <si>
    <t>pCODR 10168</t>
  </si>
  <si>
    <t>21137</t>
  </si>
  <si>
    <t>pCODR 10153</t>
  </si>
  <si>
    <t>21136</t>
  </si>
  <si>
    <t>pCODR 10162</t>
  </si>
  <si>
    <t>ROS1-positive advanced Non-Small Cell Lung Cancer</t>
  </si>
  <si>
    <t>21135</t>
  </si>
  <si>
    <t>pCODR 10151</t>
  </si>
  <si>
    <t>21134</t>
  </si>
  <si>
    <t>pCODR 10150</t>
  </si>
  <si>
    <t>Non-small Cell Lung Cancer</t>
  </si>
  <si>
    <t>21133</t>
  </si>
  <si>
    <t>pCODR 10131</t>
  </si>
  <si>
    <t>21132</t>
  </si>
  <si>
    <t>pCODR 10152</t>
  </si>
  <si>
    <t>21131</t>
  </si>
  <si>
    <t>21130</t>
  </si>
  <si>
    <t>21129</t>
  </si>
  <si>
    <t>Actelion Pharmaceuticals Ltd.</t>
  </si>
  <si>
    <t>Pulmonary Arterial Hypertension</t>
  </si>
  <si>
    <t>21127</t>
  </si>
  <si>
    <t>secondary prevention of atherothrombotic events</t>
  </si>
  <si>
    <t>21126</t>
  </si>
  <si>
    <t>21125</t>
  </si>
  <si>
    <t>21123</t>
  </si>
  <si>
    <t>Open-angle Glaucoma</t>
  </si>
  <si>
    <t>21122</t>
  </si>
  <si>
    <t>21121</t>
  </si>
  <si>
    <t>pCODR 10146</t>
  </si>
  <si>
    <t>21120</t>
  </si>
  <si>
    <t>pCODR 10138</t>
  </si>
  <si>
    <t>21119</t>
  </si>
  <si>
    <t>carcinoid syndorme</t>
  </si>
  <si>
    <t>21118</t>
  </si>
  <si>
    <t>onychomycosis</t>
  </si>
  <si>
    <t>21117</t>
  </si>
  <si>
    <t>21116</t>
  </si>
  <si>
    <t>21115</t>
  </si>
  <si>
    <t>21114</t>
  </si>
  <si>
    <t>neuroblastoma</t>
  </si>
  <si>
    <t>21113</t>
  </si>
  <si>
    <t>pCODR 10154</t>
  </si>
  <si>
    <t>21112</t>
  </si>
  <si>
    <t>pCODR 10149</t>
  </si>
  <si>
    <t>21111</t>
  </si>
  <si>
    <t>pCODR 10147</t>
  </si>
  <si>
    <t>21110</t>
  </si>
  <si>
    <t>pCODR 10145</t>
  </si>
  <si>
    <t>21109</t>
  </si>
  <si>
    <t>21108</t>
  </si>
  <si>
    <t>BioMarin Pharmaceutical Inc.</t>
  </si>
  <si>
    <t>neuronal ceroid lipofuscinosis type 2</t>
  </si>
  <si>
    <t>21107</t>
  </si>
  <si>
    <t>21106</t>
  </si>
  <si>
    <t>Metastatic Colorectal Cancer / Non-Small Cell Lung Cancer</t>
  </si>
  <si>
    <t>21105</t>
  </si>
  <si>
    <t>21104</t>
  </si>
  <si>
    <t>21103</t>
  </si>
  <si>
    <t>21102</t>
  </si>
  <si>
    <t>pCODR 10163</t>
  </si>
  <si>
    <t>21101</t>
  </si>
  <si>
    <t>pCODR 10158</t>
  </si>
  <si>
    <t>21100</t>
  </si>
  <si>
    <t>21099</t>
  </si>
  <si>
    <t>21098</t>
  </si>
  <si>
    <t>21097</t>
  </si>
  <si>
    <t>21096</t>
  </si>
  <si>
    <t>Multiple Indications</t>
  </si>
  <si>
    <t>21095</t>
  </si>
  <si>
    <t>21094</t>
  </si>
  <si>
    <t>breast cancer</t>
  </si>
  <si>
    <t>21093</t>
  </si>
  <si>
    <t>first-line treatment of locally advanced or metastatic non-small cell cell lung cancer (NSCLC)</t>
  </si>
  <si>
    <t>21092</t>
  </si>
  <si>
    <t>pCODR 10137</t>
  </si>
  <si>
    <t>advanced or metastatic, clear-cell renal cell carcinoma</t>
  </si>
  <si>
    <t>21091</t>
  </si>
  <si>
    <t>pCODR 10140</t>
  </si>
  <si>
    <t>Chronic Hepatitis C</t>
  </si>
  <si>
    <t>21090</t>
  </si>
  <si>
    <t>21089</t>
  </si>
  <si>
    <t>21088</t>
  </si>
  <si>
    <t>21087</t>
  </si>
  <si>
    <t>pCODR 10127</t>
  </si>
  <si>
    <t>21086</t>
  </si>
  <si>
    <t>pCODR 10134</t>
  </si>
  <si>
    <t>21085</t>
  </si>
  <si>
    <t>21084</t>
  </si>
  <si>
    <t>21083</t>
  </si>
  <si>
    <t>pCODR 10132</t>
  </si>
  <si>
    <t>21082</t>
  </si>
  <si>
    <t>pCODR 10126</t>
  </si>
  <si>
    <t>21081</t>
  </si>
  <si>
    <t>pCODR 10133</t>
  </si>
  <si>
    <t>21080</t>
  </si>
  <si>
    <t>21079</t>
  </si>
  <si>
    <t>21078</t>
  </si>
  <si>
    <t>Intermittent treatment of moderate to severe signs and symptoms of uterine fibroids _x000D_
uterine fibroids</t>
  </si>
  <si>
    <t>21077</t>
  </si>
  <si>
    <t>Non-Small Cell Lung Cancer (First Line)</t>
  </si>
  <si>
    <t>21076</t>
  </si>
  <si>
    <t>pCODR 10125</t>
  </si>
  <si>
    <t>Atherosclerotic cardiovascular disease</t>
  </si>
  <si>
    <t>21075</t>
  </si>
  <si>
    <t>21074</t>
  </si>
  <si>
    <t>21073</t>
  </si>
  <si>
    <t>21072</t>
  </si>
  <si>
    <t>Irritable Bowel Syndrome</t>
  </si>
  <si>
    <t>21071</t>
  </si>
  <si>
    <t>21070</t>
  </si>
  <si>
    <t>21069</t>
  </si>
  <si>
    <t>21068</t>
  </si>
  <si>
    <t>SR0546</t>
  </si>
  <si>
    <t>Pain, severe</t>
  </si>
  <si>
    <t>21067</t>
  </si>
  <si>
    <t>Eosinophilic Asthma</t>
  </si>
  <si>
    <t>21066</t>
  </si>
  <si>
    <t>Lower Limb Spasticity</t>
  </si>
  <si>
    <t>21065</t>
  </si>
  <si>
    <t>SR0556</t>
  </si>
  <si>
    <t>21064</t>
  </si>
  <si>
    <t>SR0554</t>
  </si>
  <si>
    <t>21063</t>
  </si>
  <si>
    <t>21062</t>
  </si>
  <si>
    <t>21061</t>
  </si>
  <si>
    <t>Ferrer Internacional</t>
  </si>
  <si>
    <t>21060</t>
  </si>
  <si>
    <t>21059</t>
  </si>
  <si>
    <t>21058</t>
  </si>
  <si>
    <t>pCODR 10122</t>
  </si>
  <si>
    <t>21057</t>
  </si>
  <si>
    <t>pCODR 10121</t>
  </si>
  <si>
    <t>21056</t>
  </si>
  <si>
    <t>pCODR 10115</t>
  </si>
  <si>
    <t>21055</t>
  </si>
  <si>
    <t>Febrile Neutropenia</t>
  </si>
  <si>
    <t>21054</t>
  </si>
  <si>
    <t>Valeant Canada</t>
  </si>
  <si>
    <t>21053</t>
  </si>
  <si>
    <t>Cytomegalovirus infection prophylaxis</t>
  </si>
  <si>
    <t>21052</t>
  </si>
  <si>
    <t>21051</t>
  </si>
  <si>
    <t>21050</t>
  </si>
  <si>
    <t>21049</t>
  </si>
  <si>
    <t>21048</t>
  </si>
  <si>
    <t>21047</t>
  </si>
  <si>
    <t>Upper Limb Spasticity</t>
  </si>
  <si>
    <t>21046</t>
  </si>
  <si>
    <t>SR0517</t>
  </si>
  <si>
    <t>21045</t>
  </si>
  <si>
    <t>21044</t>
  </si>
  <si>
    <t>Classic Hodgkin's Lymphoma</t>
  </si>
  <si>
    <t>21043</t>
  </si>
  <si>
    <t>pCODR 10120</t>
  </si>
  <si>
    <t>21042</t>
  </si>
  <si>
    <t>pCODR 10112</t>
  </si>
  <si>
    <t>21041</t>
  </si>
  <si>
    <t>pCODR 10111</t>
  </si>
  <si>
    <t>Unresectable Hepatocellular Carcinoma</t>
  </si>
  <si>
    <t>21040</t>
  </si>
  <si>
    <t>pCODR 10119</t>
  </si>
  <si>
    <t>21039</t>
  </si>
  <si>
    <t>pCODR 10114</t>
  </si>
  <si>
    <t>Left Sided Metastatic Colorectal Cancer</t>
  </si>
  <si>
    <t>21038</t>
  </si>
  <si>
    <t>pCODR 10118</t>
  </si>
  <si>
    <t>Metastatic Merkel Cell Carcinoma</t>
  </si>
  <si>
    <t>21037</t>
  </si>
  <si>
    <t>pCODR 10124</t>
  </si>
  <si>
    <t>Metastatic Urothelial Carcinoma</t>
  </si>
  <si>
    <t>21036</t>
  </si>
  <si>
    <t>pCODR 10117</t>
  </si>
  <si>
    <t>21035</t>
  </si>
  <si>
    <t>pCODR 10105</t>
  </si>
  <si>
    <t>21034</t>
  </si>
  <si>
    <t>pCODR 10116</t>
  </si>
  <si>
    <t>Primary Progressive Multiple Sclerosis</t>
  </si>
  <si>
    <t>21033</t>
  </si>
  <si>
    <t>21032</t>
  </si>
  <si>
    <t>Laboratoires Thea</t>
  </si>
  <si>
    <t>Glaucoma and Ocular Hypertension</t>
  </si>
  <si>
    <t>21031</t>
  </si>
  <si>
    <t>Giant Cell Arteritis</t>
  </si>
  <si>
    <t>21030</t>
  </si>
  <si>
    <t>21029</t>
  </si>
  <si>
    <t>Systemic juvenile idiopathic arthritis</t>
  </si>
  <si>
    <t>21028</t>
  </si>
  <si>
    <t>Rheumatic Conditions</t>
  </si>
  <si>
    <t>21027</t>
  </si>
  <si>
    <t>21026</t>
  </si>
  <si>
    <t>Otsuka Canada Pharmaceuticals</t>
  </si>
  <si>
    <t>21025</t>
  </si>
  <si>
    <t>Fabry's Disease</t>
  </si>
  <si>
    <t>21024</t>
  </si>
  <si>
    <t>21023</t>
  </si>
  <si>
    <t>21022</t>
  </si>
  <si>
    <t>21021</t>
  </si>
  <si>
    <t>SR0504</t>
  </si>
  <si>
    <t>Castrate resistant metastatic prostate cancer</t>
  </si>
  <si>
    <t>21020</t>
  </si>
  <si>
    <t>21019</t>
  </si>
  <si>
    <t>21018</t>
  </si>
  <si>
    <t>pCODR 10108</t>
  </si>
  <si>
    <t>21017</t>
  </si>
  <si>
    <t>pCODR 10103</t>
  </si>
  <si>
    <t>21016</t>
  </si>
  <si>
    <t>pCODR 10076</t>
  </si>
  <si>
    <t>21015</t>
  </si>
  <si>
    <t>pCODR 10091</t>
  </si>
  <si>
    <t>21014</t>
  </si>
  <si>
    <t>21013</t>
  </si>
  <si>
    <t>Horizon Therapeutics Ireland DAC</t>
  </si>
  <si>
    <t>21012</t>
  </si>
  <si>
    <t>21011</t>
  </si>
  <si>
    <t>21010</t>
  </si>
  <si>
    <t>21009</t>
  </si>
  <si>
    <t>21008</t>
  </si>
  <si>
    <t>21007</t>
  </si>
  <si>
    <t>pCODR 10094</t>
  </si>
  <si>
    <t>21006</t>
  </si>
  <si>
    <t>21005</t>
  </si>
  <si>
    <t>21004</t>
  </si>
  <si>
    <t>21003</t>
  </si>
  <si>
    <t>21002</t>
  </si>
  <si>
    <t>21001</t>
  </si>
  <si>
    <t>pCODR 10046</t>
  </si>
  <si>
    <t>21000</t>
  </si>
  <si>
    <t>20999</t>
  </si>
  <si>
    <t>Sanofi Genzyme Canada</t>
  </si>
  <si>
    <t>20998</t>
  </si>
  <si>
    <t>Conception Control</t>
  </si>
  <si>
    <t>20997</t>
  </si>
  <si>
    <t>20996</t>
  </si>
  <si>
    <t>pediatric-onset hypophosphatasia</t>
  </si>
  <si>
    <t>20995</t>
  </si>
  <si>
    <t>Adapt Pharma Operations Limited</t>
  </si>
  <si>
    <t>Opioid Overdose</t>
  </si>
  <si>
    <t>20994</t>
  </si>
  <si>
    <t>Mallinckrodt Canada ULC</t>
  </si>
  <si>
    <t>Opioid Dependence</t>
  </si>
  <si>
    <t>20993</t>
  </si>
  <si>
    <t>20992</t>
  </si>
  <si>
    <t>Clinically Isolated Syndrome</t>
  </si>
  <si>
    <t>20991</t>
  </si>
  <si>
    <t>20990</t>
  </si>
  <si>
    <t>Locally Advanced or Metastatic Breast Cancer</t>
  </si>
  <si>
    <t>20989</t>
  </si>
  <si>
    <t>pCODR 10110</t>
  </si>
  <si>
    <t>20988</t>
  </si>
  <si>
    <t>pCODR 10109</t>
  </si>
  <si>
    <t>20987</t>
  </si>
  <si>
    <t>pCODR 10107</t>
  </si>
  <si>
    <t>20986</t>
  </si>
  <si>
    <t>pCODR 10098</t>
  </si>
  <si>
    <t>20985</t>
  </si>
  <si>
    <t>SE0510</t>
  </si>
  <si>
    <t>20984</t>
  </si>
  <si>
    <t>Intercept Pharma Canada</t>
  </si>
  <si>
    <t>Primary biliary cholangitis</t>
  </si>
  <si>
    <t>20983</t>
  </si>
  <si>
    <t>20982</t>
  </si>
  <si>
    <t>Ankylosing spondylitis, polyarticular juvenile idiopathic arthritis, rheumatoid arthritis</t>
  </si>
  <si>
    <t>20981</t>
  </si>
  <si>
    <t>20980</t>
  </si>
  <si>
    <t>20979</t>
  </si>
  <si>
    <t>pCODR 10104</t>
  </si>
  <si>
    <t>Venous thromboembolism, treatment and recurrence prevention</t>
  </si>
  <si>
    <t>20978</t>
  </si>
  <si>
    <t>SR0499</t>
  </si>
  <si>
    <t>20977</t>
  </si>
  <si>
    <t>20976</t>
  </si>
  <si>
    <t>Uterine fibroids (signs and symptoms) - 2nd cycle pre-surgery</t>
  </si>
  <si>
    <t>20975</t>
  </si>
  <si>
    <t>20974</t>
  </si>
  <si>
    <t>20973</t>
  </si>
  <si>
    <t>20972</t>
  </si>
  <si>
    <t>pCODR 10097</t>
  </si>
  <si>
    <t>Cipher</t>
  </si>
  <si>
    <t>20971</t>
  </si>
  <si>
    <t>SR0498</t>
  </si>
  <si>
    <t>20970</t>
  </si>
  <si>
    <t>Non-valvular atrial fibrillation, prevention of stroke and systemic embolism</t>
  </si>
  <si>
    <t>20969</t>
  </si>
  <si>
    <t>SR0500</t>
  </si>
  <si>
    <t>Pediatric Acute Lymphoblastic Leukemia (ALL)</t>
  </si>
  <si>
    <t>20968</t>
  </si>
  <si>
    <t>pCODR 10099</t>
  </si>
  <si>
    <t>20967</t>
  </si>
  <si>
    <t>Pierre Fabre</t>
  </si>
  <si>
    <t>20966</t>
  </si>
  <si>
    <t>20965</t>
  </si>
  <si>
    <t>20964</t>
  </si>
  <si>
    <t>pCODR 10093</t>
  </si>
  <si>
    <t>20963</t>
  </si>
  <si>
    <t>20962</t>
  </si>
  <si>
    <t>pCODR 10102</t>
  </si>
  <si>
    <t>20961</t>
  </si>
  <si>
    <t>pCODR 10084</t>
  </si>
  <si>
    <t>20960</t>
  </si>
  <si>
    <t>20959</t>
  </si>
  <si>
    <t>20958</t>
  </si>
  <si>
    <t>20957</t>
  </si>
  <si>
    <t>Diabetes Mellitus, Type 2 with high cardiovascular risk</t>
  </si>
  <si>
    <t>20956</t>
  </si>
  <si>
    <t>20955</t>
  </si>
  <si>
    <t>20954</t>
  </si>
  <si>
    <t>20953</t>
  </si>
  <si>
    <t>20952</t>
  </si>
  <si>
    <t>20951</t>
  </si>
  <si>
    <t>20950</t>
  </si>
  <si>
    <t>Primary hypercholesterolemia (non-familial and heterozygous familial)</t>
  </si>
  <si>
    <t>20949</t>
  </si>
  <si>
    <t>20948</t>
  </si>
  <si>
    <t>pCODR 10067</t>
  </si>
  <si>
    <t>20947</t>
  </si>
  <si>
    <t>Severe Eosinophilic Asthma</t>
  </si>
  <si>
    <t>20946</t>
  </si>
  <si>
    <t>20945</t>
  </si>
  <si>
    <t>Severe Persistent Asthma</t>
  </si>
  <si>
    <t>20944</t>
  </si>
  <si>
    <t>20943</t>
  </si>
  <si>
    <t>Médunik</t>
  </si>
  <si>
    <t>20942</t>
  </si>
  <si>
    <t>Mucopolysaccharidosis VI</t>
  </si>
  <si>
    <t>20941</t>
  </si>
  <si>
    <t>20940</t>
  </si>
  <si>
    <t>Osteoporosis in Men</t>
  </si>
  <si>
    <t>20939</t>
  </si>
  <si>
    <t>Cystic Fibrosis (CFTR gating mutations)</t>
  </si>
  <si>
    <t>20938</t>
  </si>
  <si>
    <t>HIV infection, pre-exposure prophylaxis</t>
  </si>
  <si>
    <t>20937</t>
  </si>
  <si>
    <t>20936</t>
  </si>
  <si>
    <t>Non-Small Cell Lung Cancer (with CNS metastases)</t>
  </si>
  <si>
    <t>20935</t>
  </si>
  <si>
    <t>Advanced Non Small Cell Lung Cancer</t>
  </si>
  <si>
    <t>20934</t>
  </si>
  <si>
    <t>Squamos Cell Carcinoma of the Head and Neck</t>
  </si>
  <si>
    <t>20933</t>
  </si>
  <si>
    <t>pCODR 10095</t>
  </si>
  <si>
    <t>20932</t>
  </si>
  <si>
    <t>Gastrointestinal Stromal Tumours</t>
  </si>
  <si>
    <t>20931</t>
  </si>
  <si>
    <t>20930</t>
  </si>
  <si>
    <t>Celopharma</t>
  </si>
  <si>
    <t>Medical termination of pregnancy</t>
  </si>
  <si>
    <t>20929</t>
  </si>
  <si>
    <t>SR0502</t>
  </si>
  <si>
    <t>20928</t>
  </si>
  <si>
    <t>pCODR 10101</t>
  </si>
  <si>
    <t>20927</t>
  </si>
  <si>
    <t>pCODR 10077</t>
  </si>
  <si>
    <t>20926</t>
  </si>
  <si>
    <t>Rheumatoid Arthritis and Ankylosing Spondylitis</t>
  </si>
  <si>
    <t>20925</t>
  </si>
  <si>
    <t>Neuroendocrine tumours of Gastrointestinal or Lung origin</t>
  </si>
  <si>
    <t>20924</t>
  </si>
  <si>
    <t>pCODR 10083</t>
  </si>
  <si>
    <t>20923</t>
  </si>
  <si>
    <t>20922</t>
  </si>
  <si>
    <t>Platinum-Resistant Ovarian Cancer</t>
  </si>
  <si>
    <t>20921</t>
  </si>
  <si>
    <t>pCODR 10066</t>
  </si>
  <si>
    <t>20920</t>
  </si>
  <si>
    <t>Insomnia, short-term treatment</t>
  </si>
  <si>
    <t>20919</t>
  </si>
  <si>
    <t>SR0314</t>
  </si>
  <si>
    <t>20918</t>
  </si>
  <si>
    <t>pCODR 10088</t>
  </si>
  <si>
    <t>Macular edema secondary to branch retinal vein occlusion</t>
  </si>
  <si>
    <t>20917</t>
  </si>
  <si>
    <t>20916</t>
  </si>
  <si>
    <t>20915</t>
  </si>
  <si>
    <t>20914</t>
  </si>
  <si>
    <t>20913</t>
  </si>
  <si>
    <t>20912</t>
  </si>
  <si>
    <t>20911</t>
  </si>
  <si>
    <t>20910</t>
  </si>
  <si>
    <t>20909</t>
  </si>
  <si>
    <t>20908</t>
  </si>
  <si>
    <t>20907</t>
  </si>
  <si>
    <t>SR0364</t>
  </si>
  <si>
    <t>20906</t>
  </si>
  <si>
    <t>pCODR 10090</t>
  </si>
  <si>
    <t>20905</t>
  </si>
  <si>
    <t>pCODR 10065</t>
  </si>
  <si>
    <t>20904</t>
  </si>
  <si>
    <t>pCODR 10092</t>
  </si>
  <si>
    <t>20903</t>
  </si>
  <si>
    <t>20902</t>
  </si>
  <si>
    <t>Cushing's disease</t>
  </si>
  <si>
    <t>20901</t>
  </si>
  <si>
    <t>20900</t>
  </si>
  <si>
    <t>SR0283</t>
  </si>
  <si>
    <t>20899</t>
  </si>
  <si>
    <t>pCODR 10082</t>
  </si>
  <si>
    <t>ApoPharm Inc.</t>
  </si>
  <si>
    <t>20898</t>
  </si>
  <si>
    <t>Chronic Idiopathic Urticaria</t>
  </si>
  <si>
    <t>20897</t>
  </si>
  <si>
    <t>Mantle Cell Lymphoma</t>
  </si>
  <si>
    <t>20896</t>
  </si>
  <si>
    <t>pCODR 10073</t>
  </si>
  <si>
    <t>20895</t>
  </si>
  <si>
    <t>pCODR 10080</t>
  </si>
  <si>
    <t>Non-Hodgkin's Lymphoma and Multiple Myeloma</t>
  </si>
  <si>
    <t>20894</t>
  </si>
  <si>
    <t>ALL for ritux sub-cu</t>
  </si>
  <si>
    <t>20893</t>
  </si>
  <si>
    <t>20892</t>
  </si>
  <si>
    <t>20891</t>
  </si>
  <si>
    <t>20890</t>
  </si>
  <si>
    <t>pCODR 10060</t>
  </si>
  <si>
    <t>20889</t>
  </si>
  <si>
    <t>pCODR 10070</t>
  </si>
  <si>
    <t>Pulmonary fibrosis (idiopathic, mild to moderate)</t>
  </si>
  <si>
    <t>20888</t>
  </si>
  <si>
    <t>SR0393</t>
  </si>
  <si>
    <t>20887</t>
  </si>
  <si>
    <t>Idiopathic pulmonary fibrosis (IPF)</t>
  </si>
  <si>
    <t>20886</t>
  </si>
  <si>
    <t>20885</t>
  </si>
  <si>
    <t>20884</t>
  </si>
  <si>
    <t>20883</t>
  </si>
  <si>
    <t>20882</t>
  </si>
  <si>
    <t>pCODR 10074</t>
  </si>
  <si>
    <t>20881</t>
  </si>
  <si>
    <t>20880</t>
  </si>
  <si>
    <t>pCODR 10069</t>
  </si>
  <si>
    <t>20879</t>
  </si>
  <si>
    <t>pCODR 10063</t>
  </si>
  <si>
    <t>20878</t>
  </si>
  <si>
    <t>20877</t>
  </si>
  <si>
    <t>20876</t>
  </si>
  <si>
    <t>20875</t>
  </si>
  <si>
    <t>pCODR 10075</t>
  </si>
  <si>
    <t>20874</t>
  </si>
  <si>
    <t>20873</t>
  </si>
  <si>
    <t>20872</t>
  </si>
  <si>
    <t>20871</t>
  </si>
  <si>
    <t>20870</t>
  </si>
  <si>
    <t>20869</t>
  </si>
  <si>
    <t>20868</t>
  </si>
  <si>
    <t>S0246</t>
  </si>
  <si>
    <t>20867</t>
  </si>
  <si>
    <t>pCODR 10064</t>
  </si>
  <si>
    <t>20866</t>
  </si>
  <si>
    <t>S0181</t>
  </si>
  <si>
    <t>20865</t>
  </si>
  <si>
    <t>S0182</t>
  </si>
  <si>
    <t>20864</t>
  </si>
  <si>
    <t>20863</t>
  </si>
  <si>
    <t>20862</t>
  </si>
  <si>
    <t>20861</t>
  </si>
  <si>
    <t>20860</t>
  </si>
  <si>
    <t>20859</t>
  </si>
  <si>
    <t>Ankylosing spondylitis, plaque psoriasis, psoriatic arthritis, rheumatoid arthritis</t>
  </si>
  <si>
    <t>20858</t>
  </si>
  <si>
    <t>Autosomal dominant polycystic kidney disease (ADPKD)</t>
  </si>
  <si>
    <t>20857</t>
  </si>
  <si>
    <t>Chronic Lymphocytic Leukemia/Small Lymphocytic Lymphoma</t>
  </si>
  <si>
    <t>20856</t>
  </si>
  <si>
    <t>20855</t>
  </si>
  <si>
    <t>pCODR 10079</t>
  </si>
  <si>
    <t>20854</t>
  </si>
  <si>
    <t>20853</t>
  </si>
  <si>
    <t>SR0391</t>
  </si>
  <si>
    <t>Alcon</t>
  </si>
  <si>
    <t>20852</t>
  </si>
  <si>
    <t>Hidradenitis Suppurativa</t>
  </si>
  <si>
    <t>20851</t>
  </si>
  <si>
    <t>Advanced or Metastatic Gastric Cancer or Gastro-esophageal Junction (GEJ) Adenocarcinoma</t>
  </si>
  <si>
    <t>20850</t>
  </si>
  <si>
    <t>pCODR 10059</t>
  </si>
  <si>
    <t>Thromboembolic events (venous), treatment and prevention of recurrence</t>
  </si>
  <si>
    <t>20849</t>
  </si>
  <si>
    <t>20848</t>
  </si>
  <si>
    <t>20847</t>
  </si>
  <si>
    <t>Allergy</t>
  </si>
  <si>
    <t>20846</t>
  </si>
  <si>
    <t>SR0352</t>
  </si>
  <si>
    <t>20845</t>
  </si>
  <si>
    <t>pCODR 10071</t>
  </si>
  <si>
    <t>20844</t>
  </si>
  <si>
    <t>Multiple Sclerosis, improve walking disability</t>
  </si>
  <si>
    <t>20843</t>
  </si>
  <si>
    <t>SR0275</t>
  </si>
  <si>
    <t>Multicentric Castleman's Disease (MCD)</t>
  </si>
  <si>
    <t>20842</t>
  </si>
  <si>
    <t>pCODR 10052</t>
  </si>
  <si>
    <t>20841</t>
  </si>
  <si>
    <t>20840</t>
  </si>
  <si>
    <t>pCODR 10061</t>
  </si>
  <si>
    <t>20839</t>
  </si>
  <si>
    <t>SR0298</t>
  </si>
  <si>
    <t>20838</t>
  </si>
  <si>
    <t>Overactive Bladder</t>
  </si>
  <si>
    <t>20837</t>
  </si>
  <si>
    <t>SR0363</t>
  </si>
  <si>
    <t>20836</t>
  </si>
  <si>
    <t>SR0357</t>
  </si>
  <si>
    <t>20835</t>
  </si>
  <si>
    <t>SR0342</t>
  </si>
  <si>
    <t>Chronic Myeloid Leukemia/Acute Lymphoblastic Leukemia</t>
  </si>
  <si>
    <t>20834</t>
  </si>
  <si>
    <t>pCODR 10056</t>
  </si>
  <si>
    <t>20833</t>
  </si>
  <si>
    <t>SR0356</t>
  </si>
  <si>
    <t>20832</t>
  </si>
  <si>
    <t>SR0358</t>
  </si>
  <si>
    <t>20831</t>
  </si>
  <si>
    <t>20830</t>
  </si>
  <si>
    <t>SR0318</t>
  </si>
  <si>
    <t>20829</t>
  </si>
  <si>
    <t>pCODR 10057</t>
  </si>
  <si>
    <t>20828</t>
  </si>
  <si>
    <t>Meda Pharmaceuticals</t>
  </si>
  <si>
    <t>20827</t>
  </si>
  <si>
    <t>20826</t>
  </si>
  <si>
    <t>Ferring</t>
  </si>
  <si>
    <t>20825</t>
  </si>
  <si>
    <t>Vitreomacular Adhesion</t>
  </si>
  <si>
    <t>20824</t>
  </si>
  <si>
    <t>SR0337</t>
  </si>
  <si>
    <t>Forest Laboratories Canada</t>
  </si>
  <si>
    <t>20823</t>
  </si>
  <si>
    <t>Thromboembolic events (venous), pulmonary embolism</t>
  </si>
  <si>
    <t>20822</t>
  </si>
  <si>
    <t>SR0327</t>
  </si>
  <si>
    <t>20821</t>
  </si>
  <si>
    <t>pCODR 10058</t>
  </si>
  <si>
    <t>Non-Small Cell Lung Cancer (metastatic)</t>
  </si>
  <si>
    <t>20820</t>
  </si>
  <si>
    <t>pCODR 10062</t>
  </si>
  <si>
    <t>20819</t>
  </si>
  <si>
    <t>pCODR 10039</t>
  </si>
  <si>
    <t>20818</t>
  </si>
  <si>
    <t>SR0307</t>
  </si>
  <si>
    <t>20817</t>
  </si>
  <si>
    <t>pCODR 10045</t>
  </si>
  <si>
    <t>20816</t>
  </si>
  <si>
    <t>pCODR 10054</t>
  </si>
  <si>
    <t>20815</t>
  </si>
  <si>
    <t>pCODR 10048</t>
  </si>
  <si>
    <t>20814</t>
  </si>
  <si>
    <t>20813</t>
  </si>
  <si>
    <t>SR0279</t>
  </si>
  <si>
    <t>Metastatic Progressive Differentiated Thyroid Carcinoma</t>
  </si>
  <si>
    <t>20812</t>
  </si>
  <si>
    <t>20811</t>
  </si>
  <si>
    <t>20810</t>
  </si>
  <si>
    <t>20809</t>
  </si>
  <si>
    <t>pCODR 10044</t>
  </si>
  <si>
    <t>20808</t>
  </si>
  <si>
    <t>20807</t>
  </si>
  <si>
    <t>pCODR 10043</t>
  </si>
  <si>
    <t>20806</t>
  </si>
  <si>
    <t>20805</t>
  </si>
  <si>
    <t>pCODR 10037</t>
  </si>
  <si>
    <t>20804</t>
  </si>
  <si>
    <t>pCODR 10042</t>
  </si>
  <si>
    <t>20803</t>
  </si>
  <si>
    <t>renal angiomyolipoma associated with tuberous sclerosis complex (TSC)</t>
  </si>
  <si>
    <t>20802</t>
  </si>
  <si>
    <t>Pulmonary Arterial Hypertension (WHO group 1)</t>
  </si>
  <si>
    <t>20801</t>
  </si>
  <si>
    <t>20800</t>
  </si>
  <si>
    <t>SR0354</t>
  </si>
  <si>
    <t>20799</t>
  </si>
  <si>
    <t>pCODR 10036</t>
  </si>
  <si>
    <t>Regeneron</t>
  </si>
  <si>
    <t>20798</t>
  </si>
  <si>
    <t>pCODR 10035</t>
  </si>
  <si>
    <t>20797</t>
  </si>
  <si>
    <t>S0263</t>
  </si>
  <si>
    <t>20796</t>
  </si>
  <si>
    <t>SR0300</t>
  </si>
  <si>
    <t>20795</t>
  </si>
  <si>
    <t>SR0301</t>
  </si>
  <si>
    <t>20794</t>
  </si>
  <si>
    <t>pCODR 10034</t>
  </si>
  <si>
    <t>Schizophrenia and Related Psychotic Disorders</t>
  </si>
  <si>
    <t>20793</t>
  </si>
  <si>
    <t>20792</t>
  </si>
  <si>
    <t>S0133</t>
  </si>
  <si>
    <t>20791</t>
  </si>
  <si>
    <t>pCODR 10029</t>
  </si>
  <si>
    <t>20790</t>
  </si>
  <si>
    <t>pCODR 10032</t>
  </si>
  <si>
    <t>20789</t>
  </si>
  <si>
    <t>pCODR 10030</t>
  </si>
  <si>
    <t>20788</t>
  </si>
  <si>
    <t>SR0273</t>
  </si>
  <si>
    <t>Multiple Sclerosis</t>
  </si>
  <si>
    <t>20787</t>
  </si>
  <si>
    <t>S0228</t>
  </si>
  <si>
    <t>20786</t>
  </si>
  <si>
    <t>pCODR 10025</t>
  </si>
  <si>
    <t>20785</t>
  </si>
  <si>
    <t>S0257</t>
  </si>
  <si>
    <t>20784</t>
  </si>
  <si>
    <t>S0214</t>
  </si>
  <si>
    <t>20783</t>
  </si>
  <si>
    <t>20782</t>
  </si>
  <si>
    <t>20781</t>
  </si>
  <si>
    <t>Advanced Basal Cell Carcinoma</t>
  </si>
  <si>
    <t>20780</t>
  </si>
  <si>
    <t>pCODR 10015</t>
  </si>
  <si>
    <t>20779</t>
  </si>
  <si>
    <t>pCODR 10024</t>
  </si>
  <si>
    <t>Advanced Non-Squamous Non Small Cell Lung Cancer</t>
  </si>
  <si>
    <t>20778</t>
  </si>
  <si>
    <t>pCODR 10027</t>
  </si>
  <si>
    <t>20777</t>
  </si>
  <si>
    <t>pCODR 10021</t>
  </si>
  <si>
    <t>Auxillium Pharmaceuticals Inc.</t>
  </si>
  <si>
    <t>Dupuytren’s contracture with a palpable cord</t>
  </si>
  <si>
    <t>20776</t>
  </si>
  <si>
    <t>SR0287</t>
  </si>
  <si>
    <t>20775</t>
  </si>
  <si>
    <t>20774</t>
  </si>
  <si>
    <t>pCODR 10028</t>
  </si>
  <si>
    <t>20773</t>
  </si>
  <si>
    <t>20772</t>
  </si>
  <si>
    <t>20771</t>
  </si>
  <si>
    <t>Chronic Hepatitis C (genotype 4)</t>
  </si>
  <si>
    <t>20770</t>
  </si>
  <si>
    <t>Atypical Hemolytic Uremic Syndrome</t>
  </si>
  <si>
    <t>20769</t>
  </si>
  <si>
    <t>SR0304</t>
  </si>
  <si>
    <t>20768</t>
  </si>
  <si>
    <t>pCODR 10013</t>
  </si>
  <si>
    <t>20767</t>
  </si>
  <si>
    <t>Pancreatic Neuroendocrine Tumors</t>
  </si>
  <si>
    <t>20766</t>
  </si>
  <si>
    <t>pCODR 10007</t>
  </si>
  <si>
    <t>Chronic Iron Overload</t>
  </si>
  <si>
    <t>20765</t>
  </si>
  <si>
    <t>20764</t>
  </si>
  <si>
    <t>20763</t>
  </si>
  <si>
    <t>20762</t>
  </si>
  <si>
    <t>pCODR 10023</t>
  </si>
  <si>
    <t>20761</t>
  </si>
  <si>
    <t>20760</t>
  </si>
  <si>
    <t>SR0377</t>
  </si>
  <si>
    <t>20759</t>
  </si>
  <si>
    <t>20758</t>
  </si>
  <si>
    <t>20757</t>
  </si>
  <si>
    <t>20756</t>
  </si>
  <si>
    <t>20755</t>
  </si>
  <si>
    <t>20754</t>
  </si>
  <si>
    <t>pCODR 10012</t>
  </si>
  <si>
    <t>Pseuodomonas aeruginosa infections in cystic fibrosis</t>
  </si>
  <si>
    <t>20753</t>
  </si>
  <si>
    <t>Mylan Pharmaceuticals LLC</t>
  </si>
  <si>
    <t>20752</t>
  </si>
  <si>
    <t>20751</t>
  </si>
  <si>
    <t>pCODR 10004</t>
  </si>
  <si>
    <t>Lupin Pharma Canada Limited</t>
  </si>
  <si>
    <t>Hepatic Encephalopathy</t>
  </si>
  <si>
    <t>20750</t>
  </si>
  <si>
    <t>SR0388</t>
  </si>
  <si>
    <t>Aegerion Pharmaceuticals Canada Ltd.</t>
  </si>
  <si>
    <t>Homozygous Familial Hypercholesterolemia</t>
  </si>
  <si>
    <t>20749</t>
  </si>
  <si>
    <t>20748</t>
  </si>
  <si>
    <t>20747</t>
  </si>
  <si>
    <t>20746</t>
  </si>
  <si>
    <t>SR0326</t>
  </si>
  <si>
    <t>20745</t>
  </si>
  <si>
    <t>20744</t>
  </si>
  <si>
    <t>Biocodex SA</t>
  </si>
  <si>
    <t>20743</t>
  </si>
  <si>
    <t>20742</t>
  </si>
  <si>
    <t>SR0387</t>
  </si>
  <si>
    <t>20741</t>
  </si>
  <si>
    <t>20740</t>
  </si>
  <si>
    <t>20739</t>
  </si>
  <si>
    <t>pCODR 10005</t>
  </si>
  <si>
    <t>rheumatoid arthritis, ulcerative colitis and Crohn’s disease</t>
  </si>
  <si>
    <t>20738</t>
  </si>
  <si>
    <t>20737</t>
  </si>
  <si>
    <t>SR0395</t>
  </si>
  <si>
    <t>Chronic Obstructive Pulmonary Disease and asthma</t>
  </si>
  <si>
    <t>20736</t>
  </si>
  <si>
    <t>Specific Viral Infections</t>
  </si>
  <si>
    <t>20735</t>
  </si>
  <si>
    <t>Pulmonary hypertension, chronic thromboembolic</t>
  </si>
  <si>
    <t>20734</t>
  </si>
  <si>
    <t>SR0353</t>
  </si>
  <si>
    <t>20733</t>
  </si>
  <si>
    <t>SR0329</t>
  </si>
  <si>
    <t>20732</t>
  </si>
  <si>
    <t>S0176</t>
  </si>
  <si>
    <t>20731</t>
  </si>
  <si>
    <t>SR0350</t>
  </si>
  <si>
    <t>20730</t>
  </si>
  <si>
    <t>SR0299</t>
  </si>
  <si>
    <t>20729</t>
  </si>
  <si>
    <t>SR0347</t>
  </si>
  <si>
    <t>20728</t>
  </si>
  <si>
    <t>SR0292</t>
  </si>
  <si>
    <t>20727</t>
  </si>
  <si>
    <t>SR0346</t>
  </si>
  <si>
    <t>Cystic Fibrosis patients (G551D mutation)</t>
  </si>
  <si>
    <t>20726</t>
  </si>
  <si>
    <t>SR0291</t>
  </si>
  <si>
    <t>20725</t>
  </si>
  <si>
    <t>SR0274</t>
  </si>
  <si>
    <t>20724</t>
  </si>
  <si>
    <t>SR0309</t>
  </si>
  <si>
    <t>Non-Hodgkin's Lymphoma</t>
  </si>
  <si>
    <t>20723</t>
  </si>
  <si>
    <t>pCODR 10010</t>
  </si>
  <si>
    <t>Allergic Rhinitis</t>
  </si>
  <si>
    <t>20722</t>
  </si>
  <si>
    <t>SR0290</t>
  </si>
  <si>
    <t>20721</t>
  </si>
  <si>
    <t>S0251</t>
  </si>
  <si>
    <t>20720</t>
  </si>
  <si>
    <t>SR0265</t>
  </si>
  <si>
    <t>20719</t>
  </si>
  <si>
    <t>pCODR 10003</t>
  </si>
  <si>
    <t>Optimer Pharmaceuticals</t>
  </si>
  <si>
    <t>20718</t>
  </si>
  <si>
    <t>SR0285</t>
  </si>
  <si>
    <t>20717</t>
  </si>
  <si>
    <t>SR0288</t>
  </si>
  <si>
    <t>20716</t>
  </si>
  <si>
    <t>20715</t>
  </si>
  <si>
    <t>S0028</t>
  </si>
  <si>
    <t>Thrombotic events in Acute Coronary Syndromes, Prevention</t>
  </si>
  <si>
    <t>20714</t>
  </si>
  <si>
    <t>S0234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</si>
</sst>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164"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000"/>
  <sheetViews>
    <sheetView tabSelected="1" workbookViewId="0"/>
  </sheetViews>
  <sheetFormatPr baseColWidth="10" defaultColWidth="8.88671875" defaultRowHeight="14.4" x14ac:dyDescent="0.3"/>
  <sheetData>
    <row r="1" spans="1:2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3">
      <c r="A2" s="2" t="str">
        <f>HYPERLINK("https://www.cadth.ca/idecabtagene-vicleucel", "Abecma")</f>
        <v>Abecma</v>
      </c>
      <c r="B2" t="s">
        <v>29</v>
      </c>
      <c r="C2" t="s">
        <v>30</v>
      </c>
      <c r="E2" t="s">
        <v>31</v>
      </c>
      <c r="F2" s="3">
        <v>44181</v>
      </c>
      <c r="G2" s="3"/>
      <c r="H2" t="s">
        <v>32</v>
      </c>
      <c r="I2" t="s">
        <v>33</v>
      </c>
      <c r="K2" t="s">
        <v>34</v>
      </c>
      <c r="N2" s="3"/>
      <c r="O2" t="s">
        <v>35</v>
      </c>
      <c r="Q2" s="3"/>
      <c r="R2" s="3"/>
      <c r="S2" s="3"/>
      <c r="T2" t="s">
        <v>36</v>
      </c>
      <c r="V2" s="3"/>
      <c r="W2" s="3"/>
      <c r="X2" s="3"/>
      <c r="Y2" s="3"/>
      <c r="Z2" s="3"/>
      <c r="AA2" s="3"/>
      <c r="AB2" s="3"/>
    </row>
    <row r="3" spans="1:29" x14ac:dyDescent="0.3">
      <c r="A3" s="2" t="str">
        <f>HYPERLINK("https://www.cadth.ca/aripiprazole", "Abilify")</f>
        <v>Abilify</v>
      </c>
      <c r="B3" t="s">
        <v>37</v>
      </c>
      <c r="C3" t="s">
        <v>38</v>
      </c>
      <c r="D3" t="s">
        <v>39</v>
      </c>
      <c r="E3" t="s">
        <v>40</v>
      </c>
      <c r="F3" s="3">
        <v>40123</v>
      </c>
      <c r="G3" s="3">
        <v>40295</v>
      </c>
      <c r="H3" t="s">
        <v>41</v>
      </c>
      <c r="I3" t="s">
        <v>33</v>
      </c>
      <c r="N3" s="3"/>
      <c r="O3" t="s">
        <v>42</v>
      </c>
      <c r="Q3" s="3"/>
      <c r="R3" s="3"/>
      <c r="S3" s="3"/>
      <c r="T3" t="s">
        <v>36</v>
      </c>
      <c r="V3" s="3"/>
      <c r="W3" s="3"/>
      <c r="X3" s="3"/>
      <c r="Y3" s="3"/>
      <c r="Z3" s="3"/>
      <c r="AA3" s="3"/>
      <c r="AB3" s="3"/>
    </row>
    <row r="4" spans="1:29" x14ac:dyDescent="0.3">
      <c r="A4" s="2" t="str">
        <f>HYPERLINK("https://www.cadth.ca/aripiprazole-1", "Abilify")</f>
        <v>Abilify</v>
      </c>
      <c r="B4" t="s">
        <v>37</v>
      </c>
      <c r="C4" t="s">
        <v>43</v>
      </c>
      <c r="D4" t="s">
        <v>39</v>
      </c>
      <c r="E4" t="s">
        <v>40</v>
      </c>
      <c r="F4" s="3">
        <v>41548</v>
      </c>
      <c r="G4" s="3">
        <v>41934</v>
      </c>
      <c r="H4" t="s">
        <v>44</v>
      </c>
      <c r="I4" t="s">
        <v>33</v>
      </c>
      <c r="N4" s="3"/>
      <c r="O4" t="s">
        <v>42</v>
      </c>
      <c r="Q4" s="3"/>
      <c r="R4" s="3"/>
      <c r="S4" s="3"/>
      <c r="T4" t="s">
        <v>36</v>
      </c>
      <c r="V4" s="3"/>
      <c r="W4" s="3"/>
      <c r="X4" s="3"/>
      <c r="Y4" s="3"/>
      <c r="Z4" s="3"/>
      <c r="AA4" s="3"/>
      <c r="AB4" s="3"/>
    </row>
    <row r="5" spans="1:29" x14ac:dyDescent="0.3">
      <c r="A5" s="2" t="str">
        <f>HYPERLINK("https://www.cadth.ca/aripiprazole-0", "Abilify")</f>
        <v>Abilify</v>
      </c>
      <c r="B5" t="s">
        <v>37</v>
      </c>
      <c r="C5" t="s">
        <v>45</v>
      </c>
      <c r="D5" t="s">
        <v>46</v>
      </c>
      <c r="E5" t="s">
        <v>40</v>
      </c>
      <c r="F5" s="3">
        <v>40631</v>
      </c>
      <c r="G5" s="3">
        <v>40742</v>
      </c>
      <c r="H5" t="s">
        <v>47</v>
      </c>
      <c r="I5" t="s">
        <v>33</v>
      </c>
      <c r="N5" s="3"/>
      <c r="O5" t="s">
        <v>48</v>
      </c>
      <c r="Q5" s="3"/>
      <c r="R5" s="3"/>
      <c r="S5" s="3"/>
      <c r="T5" t="s">
        <v>49</v>
      </c>
      <c r="V5" s="3"/>
      <c r="W5" s="3"/>
      <c r="X5" s="3"/>
      <c r="Y5" s="3"/>
      <c r="Z5" s="3"/>
      <c r="AA5" s="3"/>
      <c r="AB5" s="3"/>
    </row>
    <row r="6" spans="1:29" x14ac:dyDescent="0.3">
      <c r="A6" s="2" t="str">
        <f>HYPERLINK("https://www.cadth.ca/aripiprazole-2", "Abilify Maintena")</f>
        <v>Abilify Maintena</v>
      </c>
      <c r="B6" t="s">
        <v>37</v>
      </c>
      <c r="C6" t="s">
        <v>38</v>
      </c>
      <c r="D6" t="s">
        <v>50</v>
      </c>
      <c r="E6" t="s">
        <v>40</v>
      </c>
      <c r="F6" s="3">
        <v>41645</v>
      </c>
      <c r="G6" s="3">
        <v>41992</v>
      </c>
      <c r="H6" t="s">
        <v>51</v>
      </c>
      <c r="I6" t="s">
        <v>33</v>
      </c>
      <c r="N6" s="3"/>
      <c r="O6" t="s">
        <v>52</v>
      </c>
      <c r="Q6" s="3"/>
      <c r="R6" s="3"/>
      <c r="S6" s="3"/>
      <c r="T6" t="s">
        <v>36</v>
      </c>
      <c r="V6" s="3"/>
      <c r="W6" s="3"/>
      <c r="X6" s="3"/>
      <c r="Y6" s="3"/>
      <c r="Z6" s="3"/>
      <c r="AA6" s="3"/>
      <c r="AB6" s="3"/>
    </row>
    <row r="7" spans="1:29" x14ac:dyDescent="0.3">
      <c r="A7" s="2" t="str">
        <f>HYPERLINK("https://www.cadth.ca/node/79641", "Abraxane")</f>
        <v>Abraxane</v>
      </c>
      <c r="B7" t="s">
        <v>53</v>
      </c>
      <c r="C7" t="s">
        <v>54</v>
      </c>
      <c r="D7" t="s">
        <v>55</v>
      </c>
      <c r="E7" t="s">
        <v>40</v>
      </c>
      <c r="F7" s="3">
        <v>41684</v>
      </c>
      <c r="G7" s="3">
        <v>41905</v>
      </c>
      <c r="H7" t="s">
        <v>56</v>
      </c>
      <c r="I7" t="s">
        <v>33</v>
      </c>
      <c r="J7" t="s">
        <v>57</v>
      </c>
      <c r="K7" t="s">
        <v>58</v>
      </c>
      <c r="L7" t="s">
        <v>59</v>
      </c>
      <c r="M7" t="s">
        <v>60</v>
      </c>
      <c r="N7" s="3">
        <v>41836</v>
      </c>
      <c r="O7" t="s">
        <v>61</v>
      </c>
      <c r="P7" t="s">
        <v>61</v>
      </c>
      <c r="Q7" s="3"/>
      <c r="R7" s="3"/>
      <c r="S7" s="3">
        <v>41694</v>
      </c>
      <c r="U7" t="s">
        <v>62</v>
      </c>
      <c r="V7" s="3">
        <v>41701</v>
      </c>
      <c r="W7" s="3">
        <v>41759</v>
      </c>
      <c r="X7" s="3">
        <v>41872</v>
      </c>
      <c r="Y7" s="3">
        <v>41887</v>
      </c>
      <c r="Z7" s="3">
        <v>41901</v>
      </c>
      <c r="AA7" s="3"/>
      <c r="AB7" s="3">
        <v>41920</v>
      </c>
      <c r="AC7" t="s">
        <v>63</v>
      </c>
    </row>
    <row r="8" spans="1:29" x14ac:dyDescent="0.3">
      <c r="A8" s="2" t="str">
        <f>HYPERLINK("https://www.cadth.ca/fentanyl-citrate-0", "Abstral")</f>
        <v>Abstral</v>
      </c>
      <c r="B8" t="s">
        <v>64</v>
      </c>
      <c r="C8" t="s">
        <v>65</v>
      </c>
      <c r="D8" t="s">
        <v>39</v>
      </c>
      <c r="E8" t="s">
        <v>40</v>
      </c>
      <c r="F8" s="3">
        <v>40724</v>
      </c>
      <c r="G8" s="3">
        <v>40893</v>
      </c>
      <c r="H8" t="s">
        <v>66</v>
      </c>
      <c r="I8" t="s">
        <v>33</v>
      </c>
      <c r="N8" s="3"/>
      <c r="O8" t="s">
        <v>67</v>
      </c>
      <c r="Q8" s="3"/>
      <c r="R8" s="3"/>
      <c r="S8" s="3"/>
      <c r="T8" t="s">
        <v>36</v>
      </c>
      <c r="V8" s="3"/>
      <c r="W8" s="3"/>
      <c r="X8" s="3"/>
      <c r="Y8" s="3"/>
      <c r="Z8" s="3"/>
      <c r="AA8" s="3"/>
      <c r="AB8" s="3"/>
    </row>
    <row r="9" spans="1:29" x14ac:dyDescent="0.3">
      <c r="A9" s="2" t="str">
        <f>HYPERLINK("https://www.cadth.ca/zoledronic-acid", "Aclasta")</f>
        <v>Aclasta</v>
      </c>
      <c r="B9" t="s">
        <v>68</v>
      </c>
      <c r="C9" t="s">
        <v>69</v>
      </c>
      <c r="D9" t="s">
        <v>39</v>
      </c>
      <c r="E9" t="s">
        <v>40</v>
      </c>
      <c r="F9" s="3">
        <v>39415</v>
      </c>
      <c r="G9" s="3">
        <v>39624</v>
      </c>
      <c r="H9" t="s">
        <v>70</v>
      </c>
      <c r="I9" t="s">
        <v>33</v>
      </c>
      <c r="N9" s="3"/>
      <c r="O9" t="s">
        <v>71</v>
      </c>
      <c r="Q9" s="3"/>
      <c r="R9" s="3"/>
      <c r="S9" s="3"/>
      <c r="T9" t="s">
        <v>36</v>
      </c>
      <c r="V9" s="3"/>
      <c r="W9" s="3"/>
      <c r="X9" s="3"/>
      <c r="Y9" s="3"/>
      <c r="Z9" s="3"/>
      <c r="AA9" s="3"/>
      <c r="AB9" s="3"/>
    </row>
    <row r="10" spans="1:29" x14ac:dyDescent="0.3">
      <c r="A10" s="2" t="str">
        <f>HYPERLINK("https://www.cadth.ca/zoledronic-acid-0", "Aclasta")</f>
        <v>Aclasta</v>
      </c>
      <c r="B10" t="s">
        <v>68</v>
      </c>
      <c r="C10" t="s">
        <v>72</v>
      </c>
      <c r="D10" t="s">
        <v>46</v>
      </c>
      <c r="E10" t="s">
        <v>40</v>
      </c>
      <c r="F10" s="3">
        <v>40744</v>
      </c>
      <c r="G10" s="3">
        <v>40863</v>
      </c>
      <c r="H10" t="s">
        <v>73</v>
      </c>
      <c r="I10" t="s">
        <v>33</v>
      </c>
      <c r="N10" s="3"/>
      <c r="O10" t="s">
        <v>71</v>
      </c>
      <c r="Q10" s="3"/>
      <c r="R10" s="3"/>
      <c r="S10" s="3"/>
      <c r="T10" t="s">
        <v>49</v>
      </c>
      <c r="V10" s="3"/>
      <c r="W10" s="3"/>
      <c r="X10" s="3"/>
      <c r="Y10" s="3"/>
      <c r="Z10" s="3"/>
      <c r="AA10" s="3"/>
      <c r="AB10" s="3"/>
    </row>
    <row r="11" spans="1:29" x14ac:dyDescent="0.3">
      <c r="A11" s="2" t="str">
        <f>HYPERLINK("https://www.cadth.ca/tocilizumab-0", "Actemra")</f>
        <v>Actemra</v>
      </c>
      <c r="B11" t="s">
        <v>74</v>
      </c>
      <c r="C11" t="s">
        <v>75</v>
      </c>
      <c r="D11" t="s">
        <v>46</v>
      </c>
      <c r="E11" t="s">
        <v>40</v>
      </c>
      <c r="F11" s="3">
        <v>40938</v>
      </c>
      <c r="G11" s="3">
        <v>41109</v>
      </c>
      <c r="H11" t="s">
        <v>76</v>
      </c>
      <c r="I11" t="s">
        <v>33</v>
      </c>
      <c r="N11" s="3"/>
      <c r="O11" t="s">
        <v>77</v>
      </c>
      <c r="Q11" s="3"/>
      <c r="R11" s="3"/>
      <c r="S11" s="3"/>
      <c r="T11" t="s">
        <v>36</v>
      </c>
      <c r="V11" s="3"/>
      <c r="W11" s="3"/>
      <c r="X11" s="3"/>
      <c r="Y11" s="3"/>
      <c r="Z11" s="3"/>
      <c r="AA11" s="3"/>
      <c r="AB11" s="3"/>
    </row>
    <row r="12" spans="1:29" x14ac:dyDescent="0.3">
      <c r="A12" s="2" t="str">
        <f>HYPERLINK("https://www.cadth.ca/tocilizumab-2", "Actemra")</f>
        <v>Actemra</v>
      </c>
      <c r="B12" t="s">
        <v>74</v>
      </c>
      <c r="C12" t="s">
        <v>78</v>
      </c>
      <c r="D12" t="s">
        <v>50</v>
      </c>
      <c r="E12" t="s">
        <v>40</v>
      </c>
      <c r="F12" s="3">
        <v>41701</v>
      </c>
      <c r="G12" s="3">
        <v>42054</v>
      </c>
      <c r="H12" t="s">
        <v>79</v>
      </c>
      <c r="I12" t="s">
        <v>33</v>
      </c>
      <c r="N12" s="3"/>
      <c r="O12" t="s">
        <v>80</v>
      </c>
      <c r="Q12" s="3"/>
      <c r="R12" s="3"/>
      <c r="S12" s="3"/>
      <c r="T12" t="s">
        <v>36</v>
      </c>
      <c r="V12" s="3"/>
      <c r="W12" s="3"/>
      <c r="X12" s="3"/>
      <c r="Y12" s="3"/>
      <c r="Z12" s="3"/>
      <c r="AA12" s="3"/>
      <c r="AB12" s="3"/>
    </row>
    <row r="13" spans="1:29" x14ac:dyDescent="0.3">
      <c r="A13" s="2" t="str">
        <f>HYPERLINK("https://www.cadth.ca/tocilizumab-3", "Actemra")</f>
        <v>Actemra</v>
      </c>
      <c r="B13" t="s">
        <v>81</v>
      </c>
      <c r="C13" t="s">
        <v>82</v>
      </c>
      <c r="D13" t="s">
        <v>55</v>
      </c>
      <c r="E13" t="s">
        <v>40</v>
      </c>
      <c r="F13" s="3">
        <v>43003</v>
      </c>
      <c r="G13" s="3">
        <v>43186</v>
      </c>
      <c r="H13" t="s">
        <v>83</v>
      </c>
      <c r="I13" t="s">
        <v>33</v>
      </c>
      <c r="N13" s="3"/>
      <c r="O13" t="s">
        <v>80</v>
      </c>
      <c r="Q13" s="3"/>
      <c r="R13" s="3"/>
      <c r="S13" s="3"/>
      <c r="T13" t="s">
        <v>36</v>
      </c>
      <c r="V13" s="3"/>
      <c r="W13" s="3"/>
      <c r="X13" s="3"/>
      <c r="Y13" s="3"/>
      <c r="Z13" s="3"/>
      <c r="AA13" s="3"/>
      <c r="AB13" s="3"/>
    </row>
    <row r="14" spans="1:29" x14ac:dyDescent="0.3">
      <c r="A14" s="2" t="str">
        <f>HYPERLINK("https://www.cadth.ca/tocilizumab", "Actemra")</f>
        <v>Actemra</v>
      </c>
      <c r="B14" t="s">
        <v>74</v>
      </c>
      <c r="C14" t="s">
        <v>84</v>
      </c>
      <c r="D14" t="s">
        <v>46</v>
      </c>
      <c r="E14" t="s">
        <v>40</v>
      </c>
      <c r="F14" s="3">
        <v>40325</v>
      </c>
      <c r="G14" s="3">
        <v>40499</v>
      </c>
      <c r="H14" t="s">
        <v>85</v>
      </c>
      <c r="I14" t="s">
        <v>33</v>
      </c>
      <c r="N14" s="3"/>
      <c r="O14" t="s">
        <v>80</v>
      </c>
      <c r="Q14" s="3"/>
      <c r="R14" s="3"/>
      <c r="S14" s="3"/>
      <c r="T14" t="s">
        <v>36</v>
      </c>
      <c r="V14" s="3"/>
      <c r="W14" s="3"/>
      <c r="X14" s="3"/>
      <c r="Y14" s="3"/>
      <c r="Z14" s="3"/>
      <c r="AA14" s="3"/>
      <c r="AB14" s="3"/>
    </row>
    <row r="15" spans="1:29" x14ac:dyDescent="0.3">
      <c r="A15" s="2" t="str">
        <f>HYPERLINK("https://www.cadth.ca/tocilizumab-1", "Actemra")</f>
        <v>Actemra</v>
      </c>
      <c r="B15" t="s">
        <v>74</v>
      </c>
      <c r="C15" t="s">
        <v>86</v>
      </c>
      <c r="D15" t="s">
        <v>50</v>
      </c>
      <c r="E15" t="s">
        <v>40</v>
      </c>
      <c r="F15" s="3">
        <v>41484</v>
      </c>
      <c r="G15" s="3">
        <v>41717</v>
      </c>
      <c r="H15" t="s">
        <v>87</v>
      </c>
      <c r="I15" t="s">
        <v>33</v>
      </c>
      <c r="N15" s="3"/>
      <c r="O15" t="s">
        <v>80</v>
      </c>
      <c r="Q15" s="3"/>
      <c r="R15" s="3"/>
      <c r="S15" s="3"/>
      <c r="T15" t="s">
        <v>36</v>
      </c>
      <c r="V15" s="3"/>
      <c r="W15" s="3"/>
      <c r="X15" s="3"/>
      <c r="Y15" s="3"/>
      <c r="Z15" s="3"/>
      <c r="AA15" s="3"/>
      <c r="AB15" s="3"/>
    </row>
    <row r="16" spans="1:29" x14ac:dyDescent="0.3">
      <c r="A16" s="2" t="str">
        <f>HYPERLINK("https://www.cadth.ca/fluorouracil-and-salicylic-acid", "Actikerall")</f>
        <v>Actikerall</v>
      </c>
      <c r="B16" t="s">
        <v>88</v>
      </c>
      <c r="C16" t="s">
        <v>89</v>
      </c>
      <c r="D16" t="s">
        <v>55</v>
      </c>
      <c r="E16" t="s">
        <v>40</v>
      </c>
      <c r="F16" s="3">
        <v>42613</v>
      </c>
      <c r="G16" s="3">
        <v>42816</v>
      </c>
      <c r="H16" t="s">
        <v>90</v>
      </c>
      <c r="I16" t="s">
        <v>33</v>
      </c>
      <c r="N16" s="3"/>
      <c r="O16" t="s">
        <v>91</v>
      </c>
      <c r="Q16" s="3"/>
      <c r="R16" s="3"/>
      <c r="S16" s="3"/>
      <c r="T16" t="s">
        <v>36</v>
      </c>
      <c r="V16" s="3"/>
      <c r="W16" s="3"/>
      <c r="X16" s="3"/>
      <c r="Y16" s="3"/>
      <c r="Z16" s="3"/>
      <c r="AA16" s="3"/>
      <c r="AB16" s="3"/>
    </row>
    <row r="17" spans="1:29" x14ac:dyDescent="0.3">
      <c r="A17" s="2" t="str">
        <f>HYPERLINK("https://www.cadth.ca/node/103785", "Adcetris")</f>
        <v>Adcetris</v>
      </c>
      <c r="B17" t="s">
        <v>92</v>
      </c>
      <c r="C17" t="s">
        <v>93</v>
      </c>
      <c r="D17" t="s">
        <v>55</v>
      </c>
      <c r="E17" t="s">
        <v>40</v>
      </c>
      <c r="F17" s="3">
        <v>42957</v>
      </c>
      <c r="G17" s="3">
        <v>43152</v>
      </c>
      <c r="H17" t="s">
        <v>94</v>
      </c>
      <c r="I17" t="s">
        <v>33</v>
      </c>
      <c r="J17" t="s">
        <v>95</v>
      </c>
      <c r="K17" t="s">
        <v>96</v>
      </c>
      <c r="L17" t="s">
        <v>97</v>
      </c>
      <c r="N17" s="3">
        <v>42936</v>
      </c>
      <c r="O17" t="s">
        <v>98</v>
      </c>
      <c r="P17" t="s">
        <v>98</v>
      </c>
      <c r="Q17" s="3"/>
      <c r="R17" s="3"/>
      <c r="S17" s="3">
        <v>42971</v>
      </c>
      <c r="U17" t="s">
        <v>99</v>
      </c>
      <c r="V17" s="3">
        <v>42971</v>
      </c>
      <c r="W17" s="3">
        <v>43010</v>
      </c>
      <c r="X17" s="3">
        <v>43118</v>
      </c>
      <c r="Y17" s="3">
        <v>43132</v>
      </c>
      <c r="Z17" s="3">
        <v>43146</v>
      </c>
      <c r="AA17" s="3"/>
      <c r="AB17" s="3">
        <v>43167</v>
      </c>
    </row>
    <row r="18" spans="1:29" x14ac:dyDescent="0.3">
      <c r="A18" s="2" t="str">
        <f>HYPERLINK("https://www.cadth.ca/node/79643", "Adcetris")</f>
        <v>Adcetris</v>
      </c>
      <c r="B18" t="s">
        <v>100</v>
      </c>
      <c r="C18" t="s">
        <v>101</v>
      </c>
      <c r="D18" t="s">
        <v>55</v>
      </c>
      <c r="E18" t="s">
        <v>40</v>
      </c>
      <c r="F18" s="3">
        <v>41347</v>
      </c>
      <c r="G18" s="3">
        <v>41515</v>
      </c>
      <c r="H18" t="s">
        <v>102</v>
      </c>
      <c r="I18" t="s">
        <v>33</v>
      </c>
      <c r="J18" t="s">
        <v>103</v>
      </c>
      <c r="K18" t="s">
        <v>96</v>
      </c>
      <c r="L18" t="s">
        <v>104</v>
      </c>
      <c r="N18" s="3">
        <v>41306</v>
      </c>
      <c r="O18" t="s">
        <v>98</v>
      </c>
      <c r="P18" t="s">
        <v>98</v>
      </c>
      <c r="Q18" s="3"/>
      <c r="R18" s="3"/>
      <c r="S18" s="3">
        <v>41354</v>
      </c>
      <c r="U18" t="s">
        <v>62</v>
      </c>
      <c r="V18" s="3">
        <v>41361</v>
      </c>
      <c r="W18" s="3">
        <v>41402</v>
      </c>
      <c r="X18" s="3">
        <v>41445</v>
      </c>
      <c r="Y18" s="3">
        <v>41460</v>
      </c>
      <c r="Z18" s="3">
        <v>41474</v>
      </c>
      <c r="AA18" s="3"/>
      <c r="AB18" s="3">
        <v>41533</v>
      </c>
    </row>
    <row r="19" spans="1:29" x14ac:dyDescent="0.3">
      <c r="A19" s="2" t="str">
        <f>HYPERLINK("https://www.cadth.ca/node/119938", "Adcetris")</f>
        <v>Adcetris</v>
      </c>
      <c r="B19" t="s">
        <v>92</v>
      </c>
      <c r="C19" t="s">
        <v>105</v>
      </c>
      <c r="D19" t="s">
        <v>55</v>
      </c>
      <c r="E19" t="s">
        <v>40</v>
      </c>
      <c r="F19" s="3">
        <v>43923</v>
      </c>
      <c r="G19" s="3">
        <v>44168</v>
      </c>
      <c r="H19" t="s">
        <v>106</v>
      </c>
      <c r="I19" t="s">
        <v>33</v>
      </c>
      <c r="J19" t="s">
        <v>95</v>
      </c>
      <c r="K19" t="s">
        <v>96</v>
      </c>
      <c r="L19" t="s">
        <v>107</v>
      </c>
      <c r="N19" s="3">
        <v>43587</v>
      </c>
      <c r="O19" t="s">
        <v>98</v>
      </c>
      <c r="P19" t="s">
        <v>98</v>
      </c>
      <c r="Q19" s="3"/>
      <c r="R19" s="3"/>
      <c r="S19" s="3">
        <v>43942</v>
      </c>
      <c r="V19" s="3">
        <v>43938</v>
      </c>
      <c r="W19" s="3">
        <v>43985</v>
      </c>
      <c r="X19" s="3">
        <v>44091</v>
      </c>
      <c r="Y19" s="3">
        <v>44105</v>
      </c>
      <c r="Z19" s="3">
        <v>44120</v>
      </c>
      <c r="AA19" s="3"/>
      <c r="AB19" s="3">
        <v>44183</v>
      </c>
    </row>
    <row r="20" spans="1:29" x14ac:dyDescent="0.3">
      <c r="A20" s="2" t="str">
        <f>HYPERLINK("https://www.cadth.ca/node/117480", "Adcetris")</f>
        <v>Adcetris</v>
      </c>
      <c r="B20" t="s">
        <v>92</v>
      </c>
      <c r="C20" t="s">
        <v>108</v>
      </c>
      <c r="D20" t="s">
        <v>109</v>
      </c>
      <c r="E20" t="s">
        <v>40</v>
      </c>
      <c r="F20" s="3">
        <v>43746</v>
      </c>
      <c r="G20" s="3">
        <v>43986</v>
      </c>
      <c r="H20" t="s">
        <v>110</v>
      </c>
      <c r="I20" t="s">
        <v>33</v>
      </c>
      <c r="J20" t="s">
        <v>111</v>
      </c>
      <c r="K20" t="s">
        <v>96</v>
      </c>
      <c r="L20" t="s">
        <v>112</v>
      </c>
      <c r="M20" t="s">
        <v>60</v>
      </c>
      <c r="N20" s="3">
        <v>43791</v>
      </c>
      <c r="O20" t="s">
        <v>98</v>
      </c>
      <c r="P20" t="s">
        <v>98</v>
      </c>
      <c r="Q20" s="3"/>
      <c r="R20" s="3"/>
      <c r="S20" s="3">
        <v>43761</v>
      </c>
      <c r="V20" s="3">
        <v>43761</v>
      </c>
      <c r="W20" s="3">
        <v>43837</v>
      </c>
      <c r="X20" s="3">
        <v>43909</v>
      </c>
      <c r="Y20" s="3">
        <v>43923</v>
      </c>
      <c r="Z20" s="3">
        <v>43938</v>
      </c>
      <c r="AA20" s="3"/>
      <c r="AB20" s="3">
        <v>44001</v>
      </c>
    </row>
    <row r="21" spans="1:29" x14ac:dyDescent="0.3">
      <c r="A21" s="2" t="str">
        <f>HYPERLINK("https://www.cadth.ca/node/93609", "Adcetris")</f>
        <v>Adcetris</v>
      </c>
      <c r="B21" t="s">
        <v>100</v>
      </c>
      <c r="E21" t="s">
        <v>113</v>
      </c>
      <c r="F21" s="3">
        <v>42465</v>
      </c>
      <c r="G21" s="3"/>
      <c r="H21" t="s">
        <v>114</v>
      </c>
      <c r="I21" t="s">
        <v>33</v>
      </c>
      <c r="K21" t="s">
        <v>96</v>
      </c>
      <c r="L21" t="s">
        <v>115</v>
      </c>
      <c r="M21" t="s">
        <v>60</v>
      </c>
      <c r="N21" s="3"/>
      <c r="O21" t="s">
        <v>116</v>
      </c>
      <c r="P21" t="s">
        <v>116</v>
      </c>
      <c r="Q21" s="3"/>
      <c r="R21" s="3"/>
      <c r="S21" s="3">
        <v>42472</v>
      </c>
      <c r="U21" t="s">
        <v>62</v>
      </c>
      <c r="V21" s="3">
        <v>42479</v>
      </c>
      <c r="W21" s="3">
        <v>42522</v>
      </c>
      <c r="X21" s="3"/>
      <c r="Y21" s="3"/>
      <c r="Z21" s="3"/>
      <c r="AA21" s="3"/>
      <c r="AB21" s="3"/>
      <c r="AC21" t="s">
        <v>117</v>
      </c>
    </row>
    <row r="22" spans="1:29" x14ac:dyDescent="0.3">
      <c r="A22" s="2" t="str">
        <f>HYPERLINK("https://www.cadth.ca/node/119890", "Adcetris")</f>
        <v>Adcetris</v>
      </c>
      <c r="B22" t="s">
        <v>92</v>
      </c>
      <c r="C22" t="s">
        <v>118</v>
      </c>
      <c r="D22" t="s">
        <v>55</v>
      </c>
      <c r="E22" t="s">
        <v>40</v>
      </c>
      <c r="F22" s="3">
        <v>43920</v>
      </c>
      <c r="G22" s="3">
        <v>44168</v>
      </c>
      <c r="H22" t="s">
        <v>119</v>
      </c>
      <c r="I22" t="s">
        <v>33</v>
      </c>
      <c r="J22" t="s">
        <v>95</v>
      </c>
      <c r="K22" t="s">
        <v>96</v>
      </c>
      <c r="L22" t="s">
        <v>120</v>
      </c>
      <c r="N22" s="3">
        <v>43455</v>
      </c>
      <c r="O22" t="s">
        <v>98</v>
      </c>
      <c r="P22" t="s">
        <v>98</v>
      </c>
      <c r="Q22" s="3"/>
      <c r="R22" s="3"/>
      <c r="S22" s="3">
        <v>43936</v>
      </c>
      <c r="V22" s="3">
        <v>43935</v>
      </c>
      <c r="W22" s="3">
        <v>43984</v>
      </c>
      <c r="X22" s="3">
        <v>44091</v>
      </c>
      <c r="Y22" s="3">
        <v>44105</v>
      </c>
      <c r="Z22" s="3">
        <v>44120</v>
      </c>
      <c r="AA22" s="3"/>
      <c r="AB22" s="3">
        <v>44183</v>
      </c>
    </row>
    <row r="23" spans="1:29" x14ac:dyDescent="0.3">
      <c r="A23" s="2" t="str">
        <f>HYPERLINK("https://www.cadth.ca/node/79642", "Adcetris")</f>
        <v>Adcetris</v>
      </c>
      <c r="B23" t="s">
        <v>100</v>
      </c>
      <c r="C23" t="s">
        <v>121</v>
      </c>
      <c r="D23" t="s">
        <v>55</v>
      </c>
      <c r="E23" t="s">
        <v>40</v>
      </c>
      <c r="F23" s="3">
        <v>41348</v>
      </c>
      <c r="G23" s="3">
        <v>41613</v>
      </c>
      <c r="H23" t="s">
        <v>122</v>
      </c>
      <c r="I23" t="s">
        <v>33</v>
      </c>
      <c r="J23" t="s">
        <v>123</v>
      </c>
      <c r="K23" t="s">
        <v>96</v>
      </c>
      <c r="L23" t="s">
        <v>124</v>
      </c>
      <c r="N23" s="3">
        <v>41306</v>
      </c>
      <c r="O23" t="s">
        <v>98</v>
      </c>
      <c r="P23" t="s">
        <v>98</v>
      </c>
      <c r="Q23" s="3"/>
      <c r="R23" s="3"/>
      <c r="S23" s="3">
        <v>41355</v>
      </c>
      <c r="U23" t="s">
        <v>62</v>
      </c>
      <c r="V23" s="3">
        <v>41366</v>
      </c>
      <c r="W23" s="3">
        <v>41402</v>
      </c>
      <c r="X23" s="3">
        <v>41536</v>
      </c>
      <c r="Y23" s="3">
        <v>41550</v>
      </c>
      <c r="Z23" s="3">
        <v>41565</v>
      </c>
      <c r="AA23" s="3"/>
      <c r="AB23" s="3">
        <v>41628</v>
      </c>
      <c r="AC23" t="s">
        <v>125</v>
      </c>
    </row>
    <row r="24" spans="1:29" x14ac:dyDescent="0.3">
      <c r="A24" s="2" t="str">
        <f>HYPERLINK("https://www.cadth.ca/node/110189", "Adcetris (Resubmission)")</f>
        <v>Adcetris (Resubmission)</v>
      </c>
      <c r="B24" t="s">
        <v>92</v>
      </c>
      <c r="C24" t="s">
        <v>126</v>
      </c>
      <c r="D24" t="s">
        <v>127</v>
      </c>
      <c r="E24" t="s">
        <v>40</v>
      </c>
      <c r="F24" s="3">
        <v>43339</v>
      </c>
      <c r="G24" s="3">
        <v>43531</v>
      </c>
      <c r="H24" t="s">
        <v>128</v>
      </c>
      <c r="I24" t="s">
        <v>33</v>
      </c>
      <c r="J24" t="s">
        <v>95</v>
      </c>
      <c r="K24" t="s">
        <v>96</v>
      </c>
      <c r="L24" t="s">
        <v>129</v>
      </c>
      <c r="N24" s="3">
        <v>41306</v>
      </c>
      <c r="O24" t="s">
        <v>98</v>
      </c>
      <c r="P24" t="s">
        <v>98</v>
      </c>
      <c r="Q24" s="3"/>
      <c r="R24" s="3"/>
      <c r="S24" s="3">
        <v>43354</v>
      </c>
      <c r="U24" t="s">
        <v>99</v>
      </c>
      <c r="V24" s="3">
        <v>43354</v>
      </c>
      <c r="W24" s="3">
        <v>43396</v>
      </c>
      <c r="X24" s="3">
        <v>43447</v>
      </c>
      <c r="Y24" s="3">
        <v>43469</v>
      </c>
      <c r="Z24" s="3">
        <v>43483</v>
      </c>
      <c r="AA24" s="3"/>
      <c r="AB24" s="3">
        <v>43546</v>
      </c>
    </row>
    <row r="25" spans="1:29" x14ac:dyDescent="0.3">
      <c r="A25" s="2" t="str">
        <f>HYPERLINK("https://www.cadth.ca/tadalafil", "Adcirca")</f>
        <v>Adcirca</v>
      </c>
      <c r="B25" t="s">
        <v>130</v>
      </c>
      <c r="C25" t="s">
        <v>131</v>
      </c>
      <c r="D25" t="s">
        <v>46</v>
      </c>
      <c r="E25" t="s">
        <v>40</v>
      </c>
      <c r="F25" s="3">
        <v>40214</v>
      </c>
      <c r="G25" s="3">
        <v>40374</v>
      </c>
      <c r="H25" t="s">
        <v>132</v>
      </c>
      <c r="I25" t="s">
        <v>33</v>
      </c>
      <c r="N25" s="3"/>
      <c r="O25" t="s">
        <v>133</v>
      </c>
      <c r="Q25" s="3"/>
      <c r="R25" s="3"/>
      <c r="S25" s="3"/>
      <c r="T25" t="s">
        <v>36</v>
      </c>
      <c r="V25" s="3"/>
      <c r="W25" s="3"/>
      <c r="X25" s="3"/>
      <c r="Y25" s="3"/>
      <c r="Z25" s="3"/>
      <c r="AA25" s="3"/>
      <c r="AB25" s="3"/>
    </row>
    <row r="26" spans="1:29" x14ac:dyDescent="0.3">
      <c r="A26" s="2" t="str">
        <f>HYPERLINK("https://www.cadth.ca/mixed-amphetamine-salts", "Adderall XR")</f>
        <v>Adderall XR</v>
      </c>
      <c r="B26" t="s">
        <v>134</v>
      </c>
      <c r="C26" t="s">
        <v>135</v>
      </c>
      <c r="D26" t="s">
        <v>39</v>
      </c>
      <c r="E26" t="s">
        <v>40</v>
      </c>
      <c r="F26" s="3">
        <v>38090</v>
      </c>
      <c r="G26" s="3">
        <v>38315</v>
      </c>
      <c r="H26" t="s">
        <v>136</v>
      </c>
      <c r="I26" t="s">
        <v>33</v>
      </c>
      <c r="N26" s="3"/>
      <c r="O26" t="s">
        <v>137</v>
      </c>
      <c r="Q26" s="3"/>
      <c r="R26" s="3"/>
      <c r="S26" s="3"/>
      <c r="T26" t="s">
        <v>36</v>
      </c>
      <c r="V26" s="3"/>
      <c r="W26" s="3"/>
      <c r="X26" s="3"/>
      <c r="Y26" s="3"/>
      <c r="Z26" s="3"/>
      <c r="AA26" s="3"/>
      <c r="AB26" s="3"/>
    </row>
    <row r="27" spans="1:29" x14ac:dyDescent="0.3">
      <c r="A27" s="2" t="str">
        <f>HYPERLINK("https://www.cadth.ca/mixed-amphetamine-salts-1", "Adderall XR")</f>
        <v>Adderall XR</v>
      </c>
      <c r="B27" t="s">
        <v>134</v>
      </c>
      <c r="C27" t="s">
        <v>138</v>
      </c>
      <c r="D27" t="s">
        <v>39</v>
      </c>
      <c r="E27" t="s">
        <v>40</v>
      </c>
      <c r="F27" s="3">
        <v>39415</v>
      </c>
      <c r="G27" s="3">
        <v>39624</v>
      </c>
      <c r="H27" t="s">
        <v>139</v>
      </c>
      <c r="I27" t="s">
        <v>33</v>
      </c>
      <c r="N27" s="3"/>
      <c r="O27" t="s">
        <v>140</v>
      </c>
      <c r="Q27" s="3"/>
      <c r="R27" s="3"/>
      <c r="S27" s="3"/>
      <c r="T27" t="s">
        <v>36</v>
      </c>
      <c r="V27" s="3"/>
      <c r="W27" s="3"/>
      <c r="X27" s="3"/>
      <c r="Y27" s="3"/>
      <c r="Z27" s="3"/>
      <c r="AA27" s="3"/>
      <c r="AB27" s="3"/>
    </row>
    <row r="28" spans="1:29" x14ac:dyDescent="0.3">
      <c r="A28" s="2" t="str">
        <f>HYPERLINK("https://www.cadth.ca/mixed-amphetamine-salts-0", "Adderall XR")</f>
        <v>Adderall XR</v>
      </c>
      <c r="B28" t="s">
        <v>134</v>
      </c>
      <c r="C28" t="s">
        <v>135</v>
      </c>
      <c r="E28" t="s">
        <v>113</v>
      </c>
      <c r="F28" s="3">
        <v>38336</v>
      </c>
      <c r="G28" s="3"/>
      <c r="H28" t="s">
        <v>141</v>
      </c>
      <c r="I28" t="s">
        <v>33</v>
      </c>
      <c r="N28" s="3"/>
      <c r="O28" t="s">
        <v>137</v>
      </c>
      <c r="Q28" s="3"/>
      <c r="R28" s="3"/>
      <c r="S28" s="3"/>
      <c r="T28" t="s">
        <v>142</v>
      </c>
      <c r="V28" s="3"/>
      <c r="W28" s="3"/>
      <c r="X28" s="3"/>
      <c r="Y28" s="3"/>
      <c r="Z28" s="3"/>
      <c r="AA28" s="3"/>
      <c r="AB28" s="3"/>
    </row>
    <row r="29" spans="1:29" x14ac:dyDescent="0.3">
      <c r="A29" s="2" t="str">
        <f>HYPERLINK("https://www.cadth.ca/riociguat-0", "Adempas")</f>
        <v>Adempas</v>
      </c>
      <c r="B29" t="s">
        <v>143</v>
      </c>
      <c r="C29" t="s">
        <v>144</v>
      </c>
      <c r="D29" t="s">
        <v>46</v>
      </c>
      <c r="E29" t="s">
        <v>40</v>
      </c>
      <c r="F29" s="3">
        <v>42180</v>
      </c>
      <c r="G29" s="3">
        <v>42355</v>
      </c>
      <c r="H29" t="s">
        <v>145</v>
      </c>
      <c r="I29" t="s">
        <v>33</v>
      </c>
      <c r="N29" s="3"/>
      <c r="O29" t="s">
        <v>146</v>
      </c>
      <c r="Q29" s="3"/>
      <c r="R29" s="3"/>
      <c r="S29" s="3"/>
      <c r="T29" t="s">
        <v>36</v>
      </c>
      <c r="V29" s="3"/>
      <c r="W29" s="3"/>
      <c r="X29" s="3"/>
      <c r="Y29" s="3"/>
      <c r="Z29" s="3"/>
      <c r="AA29" s="3"/>
      <c r="AB29" s="3"/>
    </row>
    <row r="30" spans="1:29" x14ac:dyDescent="0.3">
      <c r="A30" s="2" t="str">
        <f>HYPERLINK("https://www.cadth.ca/riociguat", "Adempas")</f>
        <v>Adempas</v>
      </c>
      <c r="B30" t="s">
        <v>143</v>
      </c>
      <c r="C30" t="s">
        <v>147</v>
      </c>
      <c r="D30" t="s">
        <v>50</v>
      </c>
      <c r="E30" t="s">
        <v>40</v>
      </c>
      <c r="F30" s="3">
        <v>41547</v>
      </c>
      <c r="G30" s="3">
        <v>41837</v>
      </c>
      <c r="H30" t="s">
        <v>148</v>
      </c>
      <c r="I30" t="s">
        <v>33</v>
      </c>
      <c r="N30" s="3"/>
      <c r="O30" t="s">
        <v>146</v>
      </c>
      <c r="Q30" s="3"/>
      <c r="R30" s="3"/>
      <c r="S30" s="3"/>
      <c r="T30" t="s">
        <v>36</v>
      </c>
      <c r="V30" s="3"/>
      <c r="W30" s="3"/>
      <c r="X30" s="3"/>
      <c r="Y30" s="3"/>
      <c r="Z30" s="3"/>
      <c r="AA30" s="3"/>
      <c r="AB30" s="3"/>
    </row>
    <row r="31" spans="1:29" x14ac:dyDescent="0.3">
      <c r="A31" s="2" t="str">
        <f>HYPERLINK("https://www.cadth.ca/lixisenatide", "Adlyxine")</f>
        <v>Adlyxine</v>
      </c>
      <c r="B31" t="s">
        <v>149</v>
      </c>
      <c r="C31" t="s">
        <v>150</v>
      </c>
      <c r="D31" t="s">
        <v>55</v>
      </c>
      <c r="E31" t="s">
        <v>40</v>
      </c>
      <c r="F31" s="3">
        <v>42884</v>
      </c>
      <c r="G31" s="3">
        <v>43062</v>
      </c>
      <c r="H31" t="s">
        <v>151</v>
      </c>
      <c r="I31" t="s">
        <v>33</v>
      </c>
      <c r="N31" s="3"/>
      <c r="O31" t="s">
        <v>152</v>
      </c>
      <c r="Q31" s="3"/>
      <c r="R31" s="3"/>
      <c r="S31" s="3"/>
      <c r="T31" t="s">
        <v>36</v>
      </c>
      <c r="V31" s="3"/>
      <c r="W31" s="3"/>
      <c r="X31" s="3"/>
      <c r="Y31" s="3"/>
      <c r="Z31" s="3"/>
      <c r="AA31" s="3"/>
      <c r="AB31" s="3"/>
    </row>
    <row r="32" spans="1:29" x14ac:dyDescent="0.3">
      <c r="A32" s="2" t="str">
        <f>HYPERLINK("https://www.cadth.ca/insulin-lispro", "Admelog")</f>
        <v>Admelog</v>
      </c>
      <c r="B32" t="s">
        <v>153</v>
      </c>
      <c r="E32" t="s">
        <v>154</v>
      </c>
      <c r="F32" s="3"/>
      <c r="G32" s="3"/>
      <c r="H32" t="s">
        <v>155</v>
      </c>
      <c r="I32" t="s">
        <v>33</v>
      </c>
      <c r="N32" s="3"/>
      <c r="O32" t="s">
        <v>156</v>
      </c>
      <c r="Q32" s="3"/>
      <c r="R32" s="3"/>
      <c r="S32" s="3"/>
      <c r="T32" t="s">
        <v>157</v>
      </c>
      <c r="V32" s="3"/>
      <c r="W32" s="3"/>
      <c r="X32" s="3"/>
      <c r="Y32" s="3"/>
      <c r="Z32" s="3"/>
      <c r="AA32" s="3"/>
      <c r="AB32" s="3"/>
    </row>
    <row r="33" spans="1:28" x14ac:dyDescent="0.3">
      <c r="A33" s="2" t="str">
        <f>HYPERLINK("https://www.cadth.ca/niacinlovastatin", "Advicor")</f>
        <v>Advicor</v>
      </c>
      <c r="B33" t="s">
        <v>158</v>
      </c>
      <c r="C33" t="s">
        <v>159</v>
      </c>
      <c r="D33" t="s">
        <v>160</v>
      </c>
      <c r="E33" t="s">
        <v>40</v>
      </c>
      <c r="F33" s="3">
        <v>38643</v>
      </c>
      <c r="G33" s="3">
        <v>38833</v>
      </c>
      <c r="H33" t="s">
        <v>161</v>
      </c>
      <c r="I33" t="s">
        <v>33</v>
      </c>
      <c r="N33" s="3"/>
      <c r="O33" t="s">
        <v>162</v>
      </c>
      <c r="Q33" s="3"/>
      <c r="R33" s="3"/>
      <c r="S33" s="3"/>
      <c r="T33" t="s">
        <v>36</v>
      </c>
      <c r="V33" s="3"/>
      <c r="W33" s="3"/>
      <c r="X33" s="3"/>
      <c r="Y33" s="3"/>
      <c r="Z33" s="3"/>
      <c r="AA33" s="3"/>
      <c r="AB33" s="3"/>
    </row>
    <row r="34" spans="1:28" x14ac:dyDescent="0.3">
      <c r="A34" s="2" t="str">
        <f>HYPERLINK("https://www.cadth.ca/fluticasone-propionate", "Aermony RespiClick")</f>
        <v>Aermony RespiClick</v>
      </c>
      <c r="B34" t="s">
        <v>163</v>
      </c>
      <c r="C34" t="s">
        <v>164</v>
      </c>
      <c r="D34" t="s">
        <v>55</v>
      </c>
      <c r="E34" t="s">
        <v>40</v>
      </c>
      <c r="F34" s="3">
        <v>43012</v>
      </c>
      <c r="G34" s="3">
        <v>43453</v>
      </c>
      <c r="H34" t="s">
        <v>165</v>
      </c>
      <c r="I34" t="s">
        <v>33</v>
      </c>
      <c r="N34" s="3"/>
      <c r="O34" t="s">
        <v>166</v>
      </c>
      <c r="Q34" s="3"/>
      <c r="R34" s="3"/>
      <c r="S34" s="3"/>
      <c r="T34" t="s">
        <v>36</v>
      </c>
      <c r="V34" s="3"/>
      <c r="W34" s="3"/>
      <c r="X34" s="3"/>
      <c r="Y34" s="3"/>
      <c r="Z34" s="3"/>
      <c r="AA34" s="3"/>
      <c r="AB34" s="3"/>
    </row>
    <row r="35" spans="1:28" x14ac:dyDescent="0.3">
      <c r="A35" s="2" t="str">
        <f>HYPERLINK("https://www.cadth.ca/node/79644", "Afinitor")</f>
        <v>Afinitor</v>
      </c>
      <c r="B35" t="s">
        <v>167</v>
      </c>
      <c r="C35" t="s">
        <v>168</v>
      </c>
      <c r="D35" t="s">
        <v>55</v>
      </c>
      <c r="E35" t="s">
        <v>40</v>
      </c>
      <c r="F35" s="3">
        <v>40966</v>
      </c>
      <c r="G35" s="3">
        <v>41151</v>
      </c>
      <c r="H35" t="s">
        <v>169</v>
      </c>
      <c r="I35" t="s">
        <v>33</v>
      </c>
      <c r="J35" t="s">
        <v>170</v>
      </c>
      <c r="K35" t="s">
        <v>58</v>
      </c>
      <c r="L35" t="s">
        <v>171</v>
      </c>
      <c r="N35" s="3">
        <v>40941</v>
      </c>
      <c r="O35" t="s">
        <v>71</v>
      </c>
      <c r="P35" t="s">
        <v>71</v>
      </c>
      <c r="Q35" s="3"/>
      <c r="R35" s="3"/>
      <c r="S35" s="3">
        <v>40973</v>
      </c>
      <c r="U35" t="s">
        <v>62</v>
      </c>
      <c r="V35" s="3">
        <v>40980</v>
      </c>
      <c r="W35" s="3">
        <v>41017</v>
      </c>
      <c r="X35" s="3">
        <v>41081</v>
      </c>
      <c r="Y35" s="3">
        <v>41096</v>
      </c>
      <c r="Z35" s="3">
        <v>41110</v>
      </c>
      <c r="AA35" s="3"/>
      <c r="AB35" s="3">
        <v>41169</v>
      </c>
    </row>
    <row r="36" spans="1:28" x14ac:dyDescent="0.3">
      <c r="A36" s="2" t="str">
        <f>HYPERLINK("https://www.cadth.ca/everolimus-0", "Afinitor")</f>
        <v>Afinitor</v>
      </c>
      <c r="B36" t="s">
        <v>167</v>
      </c>
      <c r="C36" t="s">
        <v>172</v>
      </c>
      <c r="D36" t="s">
        <v>39</v>
      </c>
      <c r="E36" t="s">
        <v>40</v>
      </c>
      <c r="F36" s="3">
        <v>41717</v>
      </c>
      <c r="G36" s="3">
        <v>42109</v>
      </c>
      <c r="H36" t="s">
        <v>173</v>
      </c>
      <c r="I36" t="s">
        <v>33</v>
      </c>
      <c r="N36" s="3"/>
      <c r="O36" t="s">
        <v>71</v>
      </c>
      <c r="Q36" s="3"/>
      <c r="R36" s="3"/>
      <c r="S36" s="3"/>
      <c r="T36" t="s">
        <v>36</v>
      </c>
      <c r="V36" s="3"/>
      <c r="W36" s="3"/>
      <c r="X36" s="3"/>
      <c r="Y36" s="3"/>
      <c r="Z36" s="3"/>
      <c r="AA36" s="3"/>
      <c r="AB36" s="3"/>
    </row>
    <row r="37" spans="1:28" x14ac:dyDescent="0.3">
      <c r="A37" s="2" t="str">
        <f>HYPERLINK("https://www.cadth.ca/node/79645", "Afinitor")</f>
        <v>Afinitor</v>
      </c>
      <c r="B37" t="s">
        <v>167</v>
      </c>
      <c r="C37" t="s">
        <v>174</v>
      </c>
      <c r="D37" t="s">
        <v>55</v>
      </c>
      <c r="E37" t="s">
        <v>40</v>
      </c>
      <c r="F37" s="3">
        <v>41157</v>
      </c>
      <c r="G37" s="3">
        <v>41358</v>
      </c>
      <c r="H37" t="s">
        <v>175</v>
      </c>
      <c r="I37" t="s">
        <v>33</v>
      </c>
      <c r="J37" t="s">
        <v>176</v>
      </c>
      <c r="K37" t="s">
        <v>177</v>
      </c>
      <c r="L37" t="s">
        <v>178</v>
      </c>
      <c r="M37" t="s">
        <v>60</v>
      </c>
      <c r="N37" s="3">
        <v>41284</v>
      </c>
      <c r="O37" t="s">
        <v>71</v>
      </c>
      <c r="P37" t="s">
        <v>71</v>
      </c>
      <c r="Q37" s="3"/>
      <c r="R37" s="3"/>
      <c r="S37" s="3">
        <v>41164</v>
      </c>
      <c r="U37" t="s">
        <v>62</v>
      </c>
      <c r="V37" s="3">
        <v>41171</v>
      </c>
      <c r="W37" s="3">
        <v>41213</v>
      </c>
      <c r="X37" s="3">
        <v>41326</v>
      </c>
      <c r="Y37" s="3">
        <v>41340</v>
      </c>
      <c r="Z37" s="3">
        <v>41354</v>
      </c>
      <c r="AA37" s="3"/>
      <c r="AB37" s="3">
        <v>41375</v>
      </c>
    </row>
    <row r="38" spans="1:28" x14ac:dyDescent="0.3">
      <c r="A38" s="2" t="str">
        <f>HYPERLINK("https://www.cadth.ca/everolimus", "Afinitor")</f>
        <v>Afinitor</v>
      </c>
      <c r="B38" t="s">
        <v>167</v>
      </c>
      <c r="C38" t="s">
        <v>179</v>
      </c>
      <c r="D38" t="s">
        <v>39</v>
      </c>
      <c r="E38" t="s">
        <v>40</v>
      </c>
      <c r="F38" s="3">
        <v>41341</v>
      </c>
      <c r="G38" s="3">
        <v>41542</v>
      </c>
      <c r="H38" t="s">
        <v>180</v>
      </c>
      <c r="I38" t="s">
        <v>33</v>
      </c>
      <c r="N38" s="3"/>
      <c r="O38" t="s">
        <v>71</v>
      </c>
      <c r="Q38" s="3"/>
      <c r="R38" s="3"/>
      <c r="S38" s="3"/>
      <c r="T38" t="s">
        <v>36</v>
      </c>
      <c r="V38" s="3"/>
      <c r="W38" s="3"/>
      <c r="X38" s="3"/>
      <c r="Y38" s="3"/>
      <c r="Z38" s="3"/>
      <c r="AA38" s="3"/>
      <c r="AB38" s="3"/>
    </row>
    <row r="39" spans="1:28" x14ac:dyDescent="0.3">
      <c r="A39" s="2" t="str">
        <f>HYPERLINK("https://www.cadth.ca/node/94913", "Afinitor")</f>
        <v>Afinitor</v>
      </c>
      <c r="B39" t="s">
        <v>167</v>
      </c>
      <c r="C39" t="s">
        <v>181</v>
      </c>
      <c r="D39" t="s">
        <v>55</v>
      </c>
      <c r="E39" t="s">
        <v>40</v>
      </c>
      <c r="F39" s="3">
        <v>42520</v>
      </c>
      <c r="G39" s="3">
        <v>42705</v>
      </c>
      <c r="H39" t="s">
        <v>182</v>
      </c>
      <c r="I39" t="s">
        <v>33</v>
      </c>
      <c r="J39" t="s">
        <v>183</v>
      </c>
      <c r="K39" t="s">
        <v>184</v>
      </c>
      <c r="L39" t="s">
        <v>185</v>
      </c>
      <c r="N39" s="3">
        <v>42507</v>
      </c>
      <c r="O39" t="s">
        <v>71</v>
      </c>
      <c r="P39" t="s">
        <v>71</v>
      </c>
      <c r="Q39" s="3"/>
      <c r="R39" s="3"/>
      <c r="S39" s="3">
        <v>42527</v>
      </c>
      <c r="U39" t="s">
        <v>62</v>
      </c>
      <c r="V39" s="3">
        <v>42534</v>
      </c>
      <c r="W39" s="3">
        <v>42571</v>
      </c>
      <c r="X39" s="3">
        <v>42628</v>
      </c>
      <c r="Y39" s="3">
        <v>42642</v>
      </c>
      <c r="Z39" s="3">
        <v>42657</v>
      </c>
      <c r="AA39" s="3"/>
      <c r="AB39" s="3">
        <v>42720</v>
      </c>
    </row>
    <row r="40" spans="1:28" x14ac:dyDescent="0.3">
      <c r="A40" s="2" t="str">
        <f>HYPERLINK("https://www.cadth.ca/erenumab", "Aimovig")</f>
        <v>Aimovig</v>
      </c>
      <c r="B40" t="s">
        <v>186</v>
      </c>
      <c r="C40" t="s">
        <v>187</v>
      </c>
      <c r="D40" t="s">
        <v>55</v>
      </c>
      <c r="E40" t="s">
        <v>40</v>
      </c>
      <c r="F40" s="3">
        <v>43587</v>
      </c>
      <c r="G40" s="3">
        <v>44034</v>
      </c>
      <c r="H40" t="s">
        <v>188</v>
      </c>
      <c r="I40" t="s">
        <v>33</v>
      </c>
      <c r="N40" s="3"/>
      <c r="O40" t="s">
        <v>71</v>
      </c>
      <c r="Q40" s="3"/>
      <c r="R40" s="3"/>
      <c r="S40" s="3"/>
      <c r="T40" t="s">
        <v>36</v>
      </c>
      <c r="V40" s="3"/>
      <c r="W40" s="3"/>
      <c r="X40" s="3"/>
      <c r="Y40" s="3"/>
      <c r="Z40" s="3"/>
      <c r="AA40" s="3"/>
      <c r="AB40" s="3"/>
    </row>
    <row r="41" spans="1:28" x14ac:dyDescent="0.3">
      <c r="A41" s="2" t="str">
        <f>HYPERLINK("https://www.cadth.ca/fremanezumab", "Ajovy")</f>
        <v>Ajovy</v>
      </c>
      <c r="B41" t="s">
        <v>189</v>
      </c>
      <c r="C41" t="s">
        <v>190</v>
      </c>
      <c r="D41" t="s">
        <v>55</v>
      </c>
      <c r="E41" t="s">
        <v>31</v>
      </c>
      <c r="F41" s="3">
        <v>43985</v>
      </c>
      <c r="G41" s="3">
        <v>44279</v>
      </c>
      <c r="H41" t="s">
        <v>191</v>
      </c>
      <c r="I41" t="s">
        <v>33</v>
      </c>
      <c r="N41" s="3"/>
      <c r="O41" t="s">
        <v>192</v>
      </c>
      <c r="Q41" s="3"/>
      <c r="R41" s="3"/>
      <c r="S41" s="3"/>
      <c r="T41" t="s">
        <v>36</v>
      </c>
      <c r="V41" s="3"/>
      <c r="W41" s="3"/>
      <c r="X41" s="3"/>
      <c r="Y41" s="3"/>
      <c r="Z41" s="3"/>
      <c r="AA41" s="3"/>
      <c r="AB41" s="3"/>
    </row>
    <row r="42" spans="1:28" x14ac:dyDescent="0.3">
      <c r="A42" s="2" t="str">
        <f>HYPERLINK("https://www.cadth.ca/netupitant-palonosetron", "Akynzeo")</f>
        <v>Akynzeo</v>
      </c>
      <c r="B42" t="s">
        <v>193</v>
      </c>
      <c r="C42" t="s">
        <v>194</v>
      </c>
      <c r="D42" t="s">
        <v>55</v>
      </c>
      <c r="E42" t="s">
        <v>40</v>
      </c>
      <c r="F42" s="3">
        <v>43077</v>
      </c>
      <c r="G42" s="3">
        <v>43271</v>
      </c>
      <c r="H42" t="s">
        <v>195</v>
      </c>
      <c r="I42" t="s">
        <v>33</v>
      </c>
      <c r="N42" s="3"/>
      <c r="O42" t="s">
        <v>196</v>
      </c>
      <c r="Q42" s="3"/>
      <c r="R42" s="3"/>
      <c r="S42" s="3"/>
      <c r="T42" t="s">
        <v>36</v>
      </c>
      <c r="V42" s="3"/>
      <c r="W42" s="3"/>
      <c r="X42" s="3"/>
      <c r="Y42" s="3"/>
      <c r="Z42" s="3"/>
      <c r="AA42" s="3"/>
      <c r="AB42" s="3"/>
    </row>
    <row r="43" spans="1:28" x14ac:dyDescent="0.3">
      <c r="A43" s="2" t="str">
        <f>HYPERLINK("https://www.cadth.ca/laronidase", "Aldurazyme")</f>
        <v>Aldurazyme</v>
      </c>
      <c r="B43" t="s">
        <v>197</v>
      </c>
      <c r="C43" t="s">
        <v>198</v>
      </c>
      <c r="D43" t="s">
        <v>39</v>
      </c>
      <c r="E43" t="s">
        <v>40</v>
      </c>
      <c r="F43" s="3">
        <v>38386</v>
      </c>
      <c r="G43" s="3">
        <v>38547</v>
      </c>
      <c r="H43" t="s">
        <v>199</v>
      </c>
      <c r="I43" t="s">
        <v>33</v>
      </c>
      <c r="N43" s="3"/>
      <c r="O43" t="s">
        <v>200</v>
      </c>
      <c r="Q43" s="3"/>
      <c r="R43" s="3"/>
      <c r="S43" s="3"/>
      <c r="T43" t="s">
        <v>36</v>
      </c>
      <c r="V43" s="3"/>
      <c r="W43" s="3"/>
      <c r="X43" s="3"/>
      <c r="Y43" s="3"/>
      <c r="Z43" s="3"/>
      <c r="AA43" s="3"/>
      <c r="AB43" s="3"/>
    </row>
    <row r="44" spans="1:28" x14ac:dyDescent="0.3">
      <c r="A44" s="2" t="str">
        <f>HYPERLINK("https://www.cadth.ca/node/106650", "Alecensaro")</f>
        <v>Alecensaro</v>
      </c>
      <c r="B44" t="s">
        <v>201</v>
      </c>
      <c r="C44" t="s">
        <v>202</v>
      </c>
      <c r="D44" t="s">
        <v>55</v>
      </c>
      <c r="E44" t="s">
        <v>40</v>
      </c>
      <c r="F44" s="3">
        <v>43115</v>
      </c>
      <c r="G44" s="3">
        <v>43306</v>
      </c>
      <c r="H44" t="s">
        <v>203</v>
      </c>
      <c r="I44" t="s">
        <v>33</v>
      </c>
      <c r="J44" t="s">
        <v>204</v>
      </c>
      <c r="K44" t="s">
        <v>205</v>
      </c>
      <c r="L44" t="s">
        <v>206</v>
      </c>
      <c r="M44" t="s">
        <v>60</v>
      </c>
      <c r="N44" s="3">
        <v>43262</v>
      </c>
      <c r="O44" t="s">
        <v>80</v>
      </c>
      <c r="P44" t="s">
        <v>80</v>
      </c>
      <c r="Q44" s="3"/>
      <c r="R44" s="3"/>
      <c r="S44" s="3">
        <v>43122</v>
      </c>
      <c r="U44" t="s">
        <v>99</v>
      </c>
      <c r="V44" s="3">
        <v>43129</v>
      </c>
      <c r="W44" s="3">
        <v>43165</v>
      </c>
      <c r="X44" s="3">
        <v>43272</v>
      </c>
      <c r="Y44" s="3">
        <v>43287</v>
      </c>
      <c r="Z44" s="3">
        <v>43301</v>
      </c>
      <c r="AA44" s="3"/>
      <c r="AB44" s="3">
        <v>43322</v>
      </c>
    </row>
    <row r="45" spans="1:28" x14ac:dyDescent="0.3">
      <c r="A45" s="2" t="str">
        <f>HYPERLINK("https://www.cadth.ca/node/96587", "Alecensaro")</f>
        <v>Alecensaro</v>
      </c>
      <c r="B45" t="s">
        <v>201</v>
      </c>
      <c r="C45" t="s">
        <v>207</v>
      </c>
      <c r="D45" t="s">
        <v>127</v>
      </c>
      <c r="E45" t="s">
        <v>40</v>
      </c>
      <c r="F45" s="3">
        <v>42646</v>
      </c>
      <c r="G45" s="3">
        <v>42859</v>
      </c>
      <c r="H45" t="s">
        <v>208</v>
      </c>
      <c r="I45" t="s">
        <v>33</v>
      </c>
      <c r="J45" t="s">
        <v>209</v>
      </c>
      <c r="K45" t="s">
        <v>205</v>
      </c>
      <c r="L45" t="s">
        <v>210</v>
      </c>
      <c r="N45" s="3">
        <v>42642</v>
      </c>
      <c r="O45" t="s">
        <v>80</v>
      </c>
      <c r="P45" t="s">
        <v>80</v>
      </c>
      <c r="Q45" s="3"/>
      <c r="R45" s="3"/>
      <c r="S45" s="3">
        <v>42654</v>
      </c>
      <c r="U45" t="s">
        <v>99</v>
      </c>
      <c r="V45" s="3">
        <v>42661</v>
      </c>
      <c r="W45" s="3">
        <v>42704</v>
      </c>
      <c r="X45" s="3">
        <v>42782</v>
      </c>
      <c r="Y45" s="3">
        <v>42797</v>
      </c>
      <c r="Z45" s="3">
        <v>42811</v>
      </c>
      <c r="AA45" s="3"/>
      <c r="AB45" s="3">
        <v>42874</v>
      </c>
    </row>
    <row r="46" spans="1:28" x14ac:dyDescent="0.3">
      <c r="A46" s="2" t="str">
        <f>HYPERLINK("https://www.cadth.ca/node/103908", "Alecensaro")</f>
        <v>Alecensaro</v>
      </c>
      <c r="B46" t="s">
        <v>201</v>
      </c>
      <c r="C46" t="s">
        <v>211</v>
      </c>
      <c r="D46" t="s">
        <v>55</v>
      </c>
      <c r="E46" t="s">
        <v>40</v>
      </c>
      <c r="F46" s="3">
        <v>42965</v>
      </c>
      <c r="G46" s="3">
        <v>43188</v>
      </c>
      <c r="H46" t="s">
        <v>212</v>
      </c>
      <c r="I46" t="s">
        <v>33</v>
      </c>
      <c r="J46" t="s">
        <v>204</v>
      </c>
      <c r="K46" t="s">
        <v>205</v>
      </c>
      <c r="L46" t="s">
        <v>213</v>
      </c>
      <c r="N46" s="3">
        <v>42642</v>
      </c>
      <c r="O46" t="s">
        <v>80</v>
      </c>
      <c r="P46" t="s">
        <v>80</v>
      </c>
      <c r="Q46" s="3"/>
      <c r="R46" s="3"/>
      <c r="S46" s="3">
        <v>42972</v>
      </c>
      <c r="U46" t="s">
        <v>214</v>
      </c>
      <c r="V46" s="3">
        <v>42979</v>
      </c>
      <c r="W46" s="3">
        <v>43018</v>
      </c>
      <c r="X46" s="3">
        <v>43118</v>
      </c>
      <c r="Y46" s="3">
        <v>43132</v>
      </c>
      <c r="Z46" s="3">
        <v>43146</v>
      </c>
      <c r="AA46" s="3"/>
      <c r="AB46" s="3">
        <v>43206</v>
      </c>
    </row>
    <row r="47" spans="1:28" x14ac:dyDescent="0.3">
      <c r="A47" s="2" t="str">
        <f>HYPERLINK("https://www.cadth.ca/node/79646", "Alimta")</f>
        <v>Alimta</v>
      </c>
      <c r="B47" t="s">
        <v>215</v>
      </c>
      <c r="C47" t="s">
        <v>216</v>
      </c>
      <c r="D47" t="s">
        <v>55</v>
      </c>
      <c r="E47" t="s">
        <v>40</v>
      </c>
      <c r="F47" s="3">
        <v>41425</v>
      </c>
      <c r="G47" s="3">
        <v>41597</v>
      </c>
      <c r="H47" t="s">
        <v>217</v>
      </c>
      <c r="I47" t="s">
        <v>33</v>
      </c>
      <c r="J47" t="s">
        <v>218</v>
      </c>
      <c r="K47" t="s">
        <v>205</v>
      </c>
      <c r="L47" t="s">
        <v>219</v>
      </c>
      <c r="N47" s="3">
        <v>41403</v>
      </c>
      <c r="O47" t="s">
        <v>220</v>
      </c>
      <c r="P47" t="s">
        <v>220</v>
      </c>
      <c r="Q47" s="3"/>
      <c r="R47" s="3"/>
      <c r="S47" s="3">
        <v>41438</v>
      </c>
      <c r="U47" t="s">
        <v>62</v>
      </c>
      <c r="V47" s="3">
        <v>41439</v>
      </c>
      <c r="W47" s="3">
        <v>41516</v>
      </c>
      <c r="X47" s="3">
        <v>41564</v>
      </c>
      <c r="Y47" s="3">
        <v>41578</v>
      </c>
      <c r="Z47" s="3">
        <v>41593</v>
      </c>
      <c r="AA47" s="3"/>
      <c r="AB47" s="3">
        <v>41612</v>
      </c>
    </row>
    <row r="48" spans="1:28" x14ac:dyDescent="0.3">
      <c r="A48" s="2" t="str">
        <f>HYPERLINK("https://www.cadth.ca/palonosetron", "Aloxi (capsule)")</f>
        <v>Aloxi (capsule)</v>
      </c>
      <c r="B48" t="s">
        <v>221</v>
      </c>
      <c r="C48" t="s">
        <v>222</v>
      </c>
      <c r="E48" t="s">
        <v>113</v>
      </c>
      <c r="F48" s="3">
        <v>42041</v>
      </c>
      <c r="G48" s="3"/>
      <c r="H48" t="s">
        <v>223</v>
      </c>
      <c r="I48" t="s">
        <v>33</v>
      </c>
      <c r="N48" s="3"/>
      <c r="O48" t="s">
        <v>224</v>
      </c>
      <c r="Q48" s="3"/>
      <c r="R48" s="3"/>
      <c r="S48" s="3"/>
      <c r="T48" t="s">
        <v>142</v>
      </c>
      <c r="V48" s="3"/>
      <c r="W48" s="3"/>
      <c r="X48" s="3"/>
      <c r="Y48" s="3"/>
      <c r="Z48" s="3"/>
      <c r="AA48" s="3"/>
      <c r="AB48" s="3"/>
    </row>
    <row r="49" spans="1:28" x14ac:dyDescent="0.3">
      <c r="A49" s="2" t="str">
        <f>HYPERLINK("https://www.cadth.ca/palonosetron-hydrochloride-0", "Aloxi (capsule)")</f>
        <v>Aloxi (capsule)</v>
      </c>
      <c r="B49" t="s">
        <v>225</v>
      </c>
      <c r="C49" t="s">
        <v>222</v>
      </c>
      <c r="D49" t="s">
        <v>39</v>
      </c>
      <c r="E49" t="s">
        <v>40</v>
      </c>
      <c r="F49" s="3">
        <v>41187</v>
      </c>
      <c r="G49" s="3">
        <v>41388</v>
      </c>
      <c r="H49" t="s">
        <v>226</v>
      </c>
      <c r="I49" t="s">
        <v>33</v>
      </c>
      <c r="N49" s="3"/>
      <c r="O49" t="s">
        <v>227</v>
      </c>
      <c r="Q49" s="3"/>
      <c r="R49" s="3"/>
      <c r="S49" s="3"/>
      <c r="T49" t="s">
        <v>36</v>
      </c>
      <c r="V49" s="3"/>
      <c r="W49" s="3"/>
      <c r="X49" s="3"/>
      <c r="Y49" s="3"/>
      <c r="Z49" s="3"/>
      <c r="AA49" s="3"/>
      <c r="AB49" s="3"/>
    </row>
    <row r="50" spans="1:28" x14ac:dyDescent="0.3">
      <c r="A50" s="2" t="str">
        <f>HYPERLINK("https://www.cadth.ca/palonosetron-hydrochloride", "Aloxi (injection)")</f>
        <v>Aloxi (injection)</v>
      </c>
      <c r="B50" t="s">
        <v>225</v>
      </c>
      <c r="C50" t="s">
        <v>222</v>
      </c>
      <c r="D50" t="s">
        <v>228</v>
      </c>
      <c r="E50" t="s">
        <v>40</v>
      </c>
      <c r="F50" s="3">
        <v>41187</v>
      </c>
      <c r="G50" s="3">
        <v>41409</v>
      </c>
      <c r="H50" t="s">
        <v>229</v>
      </c>
      <c r="I50" t="s">
        <v>33</v>
      </c>
      <c r="N50" s="3"/>
      <c r="O50" t="s">
        <v>227</v>
      </c>
      <c r="Q50" s="3"/>
      <c r="R50" s="3"/>
      <c r="S50" s="3"/>
      <c r="T50" t="s">
        <v>36</v>
      </c>
      <c r="V50" s="3"/>
      <c r="W50" s="3"/>
      <c r="X50" s="3"/>
      <c r="Y50" s="3"/>
      <c r="Z50" s="3"/>
      <c r="AA50" s="3"/>
      <c r="AB50" s="3"/>
    </row>
    <row r="51" spans="1:28" x14ac:dyDescent="0.3">
      <c r="A51" s="2" t="str">
        <f>HYPERLINK("https://www.cadth.ca/ramiprilhydrochlorothiazide-0", "Altace HCT")</f>
        <v>Altace HCT</v>
      </c>
      <c r="B51" t="s">
        <v>230</v>
      </c>
      <c r="C51" t="s">
        <v>231</v>
      </c>
      <c r="D51" t="s">
        <v>160</v>
      </c>
      <c r="E51" t="s">
        <v>40</v>
      </c>
      <c r="F51" s="3">
        <v>39167</v>
      </c>
      <c r="G51" s="3">
        <v>39247</v>
      </c>
      <c r="H51" t="s">
        <v>232</v>
      </c>
      <c r="I51" t="s">
        <v>33</v>
      </c>
      <c r="N51" s="3"/>
      <c r="O51" t="s">
        <v>233</v>
      </c>
      <c r="Q51" s="3"/>
      <c r="R51" s="3"/>
      <c r="S51" s="3"/>
      <c r="T51" t="s">
        <v>142</v>
      </c>
      <c r="V51" s="3"/>
      <c r="W51" s="3"/>
      <c r="X51" s="3"/>
      <c r="Y51" s="3"/>
      <c r="Z51" s="3"/>
      <c r="AA51" s="3"/>
      <c r="AB51" s="3"/>
    </row>
    <row r="52" spans="1:28" x14ac:dyDescent="0.3">
      <c r="A52" s="2" t="str">
        <f>HYPERLINK("https://www.cadth.ca/ramiprilhydrochlorothiazide", "Altace HCT")</f>
        <v>Altace HCT</v>
      </c>
      <c r="B52" t="s">
        <v>230</v>
      </c>
      <c r="C52" t="s">
        <v>231</v>
      </c>
      <c r="E52" t="s">
        <v>154</v>
      </c>
      <c r="F52" s="3">
        <v>39016</v>
      </c>
      <c r="G52" s="3"/>
      <c r="H52" t="s">
        <v>234</v>
      </c>
      <c r="I52" t="s">
        <v>33</v>
      </c>
      <c r="N52" s="3"/>
      <c r="O52" t="s">
        <v>235</v>
      </c>
      <c r="Q52" s="3"/>
      <c r="R52" s="3"/>
      <c r="S52" s="3"/>
      <c r="T52" t="s">
        <v>36</v>
      </c>
      <c r="V52" s="3"/>
      <c r="W52" s="3"/>
      <c r="X52" s="3"/>
      <c r="Y52" s="3"/>
      <c r="Z52" s="3"/>
      <c r="AA52" s="3"/>
      <c r="AB52" s="3"/>
    </row>
    <row r="53" spans="1:28" x14ac:dyDescent="0.3">
      <c r="A53" s="2" t="str">
        <f>HYPERLINK("https://www.cadth.ca/ramiprilfelodipine-extended-release", "Altace Plus Felodipine")</f>
        <v>Altace Plus Felodipine</v>
      </c>
      <c r="B53" t="s">
        <v>236</v>
      </c>
      <c r="C53" t="s">
        <v>231</v>
      </c>
      <c r="D53" t="s">
        <v>39</v>
      </c>
      <c r="E53" t="s">
        <v>40</v>
      </c>
      <c r="F53" s="3">
        <v>38890</v>
      </c>
      <c r="G53" s="3">
        <v>39036</v>
      </c>
      <c r="H53" t="s">
        <v>237</v>
      </c>
      <c r="I53" t="s">
        <v>33</v>
      </c>
      <c r="N53" s="3"/>
      <c r="O53" t="s">
        <v>233</v>
      </c>
      <c r="Q53" s="3"/>
      <c r="R53" s="3"/>
      <c r="S53" s="3"/>
      <c r="T53" t="s">
        <v>36</v>
      </c>
      <c r="V53" s="3"/>
      <c r="W53" s="3"/>
      <c r="X53" s="3"/>
      <c r="Y53" s="3"/>
      <c r="Z53" s="3"/>
      <c r="AA53" s="3"/>
      <c r="AB53" s="3"/>
    </row>
    <row r="54" spans="1:28" x14ac:dyDescent="0.3">
      <c r="A54" s="2" t="str">
        <f>HYPERLINK("https://www.cadth.ca/node/111889", "Alunbrig")</f>
        <v>Alunbrig</v>
      </c>
      <c r="B54" t="s">
        <v>238</v>
      </c>
      <c r="C54" t="s">
        <v>239</v>
      </c>
      <c r="D54" t="s">
        <v>127</v>
      </c>
      <c r="E54" t="s">
        <v>40</v>
      </c>
      <c r="F54" s="3">
        <v>43439</v>
      </c>
      <c r="G54" s="3">
        <v>43678</v>
      </c>
      <c r="H54" t="s">
        <v>240</v>
      </c>
      <c r="I54" t="s">
        <v>33</v>
      </c>
      <c r="J54" t="s">
        <v>241</v>
      </c>
      <c r="K54" t="s">
        <v>205</v>
      </c>
      <c r="L54" t="s">
        <v>242</v>
      </c>
      <c r="N54" s="3">
        <v>43307</v>
      </c>
      <c r="O54" t="s">
        <v>243</v>
      </c>
      <c r="P54" t="s">
        <v>243</v>
      </c>
      <c r="Q54" s="3"/>
      <c r="R54" s="3"/>
      <c r="S54" s="3">
        <v>43453</v>
      </c>
      <c r="V54" s="3">
        <v>43453</v>
      </c>
      <c r="W54" s="3">
        <v>43516</v>
      </c>
      <c r="X54" s="3">
        <v>43601</v>
      </c>
      <c r="Y54" s="3">
        <v>43616</v>
      </c>
      <c r="Z54" s="3">
        <v>43630</v>
      </c>
      <c r="AA54" s="3"/>
      <c r="AB54" s="3">
        <v>43696</v>
      </c>
    </row>
    <row r="55" spans="1:28" x14ac:dyDescent="0.3">
      <c r="A55" s="2" t="str">
        <f>HYPERLINK("https://www.cadth.ca/node/122466", "Alunbrig")</f>
        <v>Alunbrig</v>
      </c>
      <c r="B55" t="s">
        <v>238</v>
      </c>
      <c r="C55" t="s">
        <v>244</v>
      </c>
      <c r="E55" t="s">
        <v>40</v>
      </c>
      <c r="F55" s="3">
        <v>44104</v>
      </c>
      <c r="G55" s="3">
        <v>44307</v>
      </c>
      <c r="H55" t="s">
        <v>245</v>
      </c>
      <c r="I55" t="s">
        <v>33</v>
      </c>
      <c r="K55" t="s">
        <v>205</v>
      </c>
      <c r="L55" t="s">
        <v>246</v>
      </c>
      <c r="M55" t="s">
        <v>60</v>
      </c>
      <c r="N55" s="3">
        <v>44258</v>
      </c>
      <c r="O55" t="s">
        <v>243</v>
      </c>
      <c r="P55" t="s">
        <v>243</v>
      </c>
      <c r="Q55" s="3"/>
      <c r="R55" s="3"/>
      <c r="S55" s="3">
        <v>44119</v>
      </c>
      <c r="V55" s="3">
        <v>44119</v>
      </c>
      <c r="W55" s="3">
        <v>44181</v>
      </c>
      <c r="X55" s="3">
        <v>44273</v>
      </c>
      <c r="Y55" s="3">
        <v>44287</v>
      </c>
      <c r="Z55" s="3">
        <v>44302</v>
      </c>
      <c r="AA55" s="3"/>
      <c r="AB55" s="3">
        <v>44322</v>
      </c>
    </row>
    <row r="56" spans="1:28" x14ac:dyDescent="0.3">
      <c r="A56" s="2" t="str">
        <f>HYPERLINK("https://www.cadth.ca/ciclesonide", "Alvesco")</f>
        <v>Alvesco</v>
      </c>
      <c r="B56" t="s">
        <v>247</v>
      </c>
      <c r="C56" t="s">
        <v>248</v>
      </c>
      <c r="D56" t="s">
        <v>160</v>
      </c>
      <c r="E56" t="s">
        <v>40</v>
      </c>
      <c r="F56" s="3">
        <v>38922</v>
      </c>
      <c r="G56" s="3">
        <v>39071</v>
      </c>
      <c r="H56" t="s">
        <v>249</v>
      </c>
      <c r="I56" t="s">
        <v>33</v>
      </c>
      <c r="N56" s="3"/>
      <c r="O56" t="s">
        <v>250</v>
      </c>
      <c r="Q56" s="3"/>
      <c r="R56" s="3"/>
      <c r="S56" s="3"/>
      <c r="T56" t="s">
        <v>36</v>
      </c>
      <c r="V56" s="3"/>
      <c r="W56" s="3"/>
      <c r="X56" s="3"/>
      <c r="Y56" s="3"/>
      <c r="Z56" s="3"/>
      <c r="AA56" s="3"/>
      <c r="AB56" s="3"/>
    </row>
    <row r="57" spans="1:28" x14ac:dyDescent="0.3">
      <c r="A57" s="2" t="str">
        <f>HYPERLINK("https://www.cadth.ca/alefacept-0", "Amevive")</f>
        <v>Amevive</v>
      </c>
      <c r="B57" t="s">
        <v>251</v>
      </c>
      <c r="C57" t="s">
        <v>252</v>
      </c>
      <c r="D57" t="s">
        <v>39</v>
      </c>
      <c r="E57" t="s">
        <v>40</v>
      </c>
      <c r="F57" s="3">
        <v>38776</v>
      </c>
      <c r="G57" s="3">
        <v>38987</v>
      </c>
      <c r="H57" t="s">
        <v>253</v>
      </c>
      <c r="I57" t="s">
        <v>33</v>
      </c>
      <c r="N57" s="3"/>
      <c r="O57" t="s">
        <v>254</v>
      </c>
      <c r="Q57" s="3"/>
      <c r="R57" s="3"/>
      <c r="S57" s="3"/>
      <c r="T57" t="s">
        <v>142</v>
      </c>
      <c r="V57" s="3"/>
      <c r="W57" s="3"/>
      <c r="X57" s="3"/>
      <c r="Y57" s="3"/>
      <c r="Z57" s="3"/>
      <c r="AA57" s="3"/>
      <c r="AB57" s="3"/>
    </row>
    <row r="58" spans="1:28" x14ac:dyDescent="0.3">
      <c r="A58" s="2" t="str">
        <f>HYPERLINK("https://www.cadth.ca/alefacept", "Amevive")</f>
        <v>Amevive</v>
      </c>
      <c r="B58" t="s">
        <v>251</v>
      </c>
      <c r="C58" t="s">
        <v>252</v>
      </c>
      <c r="D58" t="s">
        <v>39</v>
      </c>
      <c r="E58" t="s">
        <v>40</v>
      </c>
      <c r="F58" s="3">
        <v>38307</v>
      </c>
      <c r="G58" s="3">
        <v>38498</v>
      </c>
      <c r="H58" t="s">
        <v>255</v>
      </c>
      <c r="I58" t="s">
        <v>33</v>
      </c>
      <c r="N58" s="3"/>
      <c r="O58" t="s">
        <v>254</v>
      </c>
      <c r="Q58" s="3"/>
      <c r="R58" s="3"/>
      <c r="S58" s="3"/>
      <c r="T58" t="s">
        <v>36</v>
      </c>
      <c r="V58" s="3"/>
      <c r="W58" s="3"/>
      <c r="X58" s="3"/>
      <c r="Y58" s="3"/>
      <c r="Z58" s="3"/>
      <c r="AA58" s="3"/>
      <c r="AB58" s="3"/>
    </row>
    <row r="59" spans="1:28" x14ac:dyDescent="0.3">
      <c r="A59" s="2" t="str">
        <f>HYPERLINK("https://www.cadth.ca/umeclidiniumvilanterol", "Anoro Ellipta")</f>
        <v>Anoro Ellipta</v>
      </c>
      <c r="B59" t="s">
        <v>256</v>
      </c>
      <c r="C59" t="s">
        <v>257</v>
      </c>
      <c r="D59" t="s">
        <v>50</v>
      </c>
      <c r="E59" t="s">
        <v>40</v>
      </c>
      <c r="F59" s="3">
        <v>41696</v>
      </c>
      <c r="G59" s="3">
        <v>42019</v>
      </c>
      <c r="H59" t="s">
        <v>258</v>
      </c>
      <c r="I59" t="s">
        <v>33</v>
      </c>
      <c r="N59" s="3"/>
      <c r="O59" t="s">
        <v>259</v>
      </c>
      <c r="Q59" s="3"/>
      <c r="R59" s="3"/>
      <c r="S59" s="3"/>
      <c r="T59" t="s">
        <v>36</v>
      </c>
      <c r="V59" s="3"/>
      <c r="W59" s="3"/>
      <c r="X59" s="3"/>
      <c r="Y59" s="3"/>
      <c r="Z59" s="3"/>
      <c r="AA59" s="3"/>
      <c r="AB59" s="3"/>
    </row>
    <row r="60" spans="1:28" x14ac:dyDescent="0.3">
      <c r="A60" s="2" t="str">
        <f>HYPERLINK("https://www.cadth.ca/insulin-glulisine", "Apidra")</f>
        <v>Apidra</v>
      </c>
      <c r="B60" t="s">
        <v>260</v>
      </c>
      <c r="C60" t="s">
        <v>261</v>
      </c>
      <c r="D60" t="s">
        <v>262</v>
      </c>
      <c r="E60" t="s">
        <v>40</v>
      </c>
      <c r="F60" s="3">
        <v>39689</v>
      </c>
      <c r="G60" s="3">
        <v>39863</v>
      </c>
      <c r="H60" t="s">
        <v>263</v>
      </c>
      <c r="I60" t="s">
        <v>33</v>
      </c>
      <c r="N60" s="3"/>
      <c r="O60" t="s">
        <v>233</v>
      </c>
      <c r="Q60" s="3"/>
      <c r="R60" s="3"/>
      <c r="S60" s="3"/>
      <c r="T60" t="s">
        <v>36</v>
      </c>
      <c r="V60" s="3"/>
      <c r="W60" s="3"/>
      <c r="X60" s="3"/>
      <c r="Y60" s="3"/>
      <c r="Z60" s="3"/>
      <c r="AA60" s="3"/>
      <c r="AB60" s="3"/>
    </row>
    <row r="61" spans="1:28" x14ac:dyDescent="0.3">
      <c r="A61" s="2" t="str">
        <f>HYPERLINK("https://www.cadth.ca/doxycycline-monohydrate", "Apprilon")</f>
        <v>Apprilon</v>
      </c>
      <c r="B61" t="s">
        <v>264</v>
      </c>
      <c r="C61" t="s">
        <v>265</v>
      </c>
      <c r="D61" t="s">
        <v>39</v>
      </c>
      <c r="E61" t="s">
        <v>40</v>
      </c>
      <c r="F61" s="3">
        <v>41026</v>
      </c>
      <c r="G61" s="3">
        <v>41360</v>
      </c>
      <c r="H61" t="s">
        <v>266</v>
      </c>
      <c r="I61" t="s">
        <v>33</v>
      </c>
      <c r="N61" s="3"/>
      <c r="O61" t="s">
        <v>267</v>
      </c>
      <c r="Q61" s="3"/>
      <c r="R61" s="3"/>
      <c r="S61" s="3"/>
      <c r="T61" t="s">
        <v>36</v>
      </c>
      <c r="V61" s="3"/>
      <c r="W61" s="3"/>
      <c r="X61" s="3"/>
      <c r="Y61" s="3"/>
      <c r="Z61" s="3"/>
      <c r="AA61" s="3"/>
      <c r="AB61" s="3"/>
    </row>
    <row r="62" spans="1:28" x14ac:dyDescent="0.3">
      <c r="A62" s="2" t="str">
        <f>HYPERLINK("https://www.cadth.ca/eslicarbazepine-acetate", "Aptiom")</f>
        <v>Aptiom</v>
      </c>
      <c r="B62" t="s">
        <v>268</v>
      </c>
      <c r="C62" t="s">
        <v>269</v>
      </c>
      <c r="D62" t="s">
        <v>50</v>
      </c>
      <c r="E62" t="s">
        <v>40</v>
      </c>
      <c r="F62" s="3">
        <v>41866</v>
      </c>
      <c r="G62" s="3">
        <v>42110</v>
      </c>
      <c r="H62" t="s">
        <v>270</v>
      </c>
      <c r="I62" t="s">
        <v>33</v>
      </c>
      <c r="N62" s="3"/>
      <c r="O62" t="s">
        <v>271</v>
      </c>
      <c r="Q62" s="3"/>
      <c r="R62" s="3"/>
      <c r="S62" s="3"/>
      <c r="T62" t="s">
        <v>36</v>
      </c>
      <c r="V62" s="3"/>
      <c r="W62" s="3"/>
      <c r="X62" s="3"/>
      <c r="Y62" s="3"/>
      <c r="Z62" s="3"/>
      <c r="AA62" s="3"/>
      <c r="AB62" s="3"/>
    </row>
    <row r="63" spans="1:28" x14ac:dyDescent="0.3">
      <c r="A63" s="2" t="str">
        <f>HYPERLINK("https://www.cadth.ca/tipranavir", "Aptivus")</f>
        <v>Aptivus</v>
      </c>
      <c r="B63" t="s">
        <v>272</v>
      </c>
      <c r="C63" t="s">
        <v>273</v>
      </c>
      <c r="D63" t="s">
        <v>46</v>
      </c>
      <c r="E63" t="s">
        <v>40</v>
      </c>
      <c r="F63" s="3">
        <v>38701</v>
      </c>
      <c r="G63" s="3">
        <v>38854</v>
      </c>
      <c r="H63" t="s">
        <v>274</v>
      </c>
      <c r="I63" t="s">
        <v>33</v>
      </c>
      <c r="N63" s="3"/>
      <c r="O63" t="s">
        <v>275</v>
      </c>
      <c r="Q63" s="3"/>
      <c r="R63" s="3"/>
      <c r="S63" s="3"/>
      <c r="T63" t="s">
        <v>36</v>
      </c>
      <c r="V63" s="3"/>
      <c r="W63" s="3"/>
      <c r="X63" s="3"/>
      <c r="Y63" s="3"/>
      <c r="Z63" s="3"/>
      <c r="AA63" s="3"/>
      <c r="AB63" s="3"/>
    </row>
    <row r="64" spans="1:28" x14ac:dyDescent="0.3">
      <c r="A64" s="2" t="str">
        <f>HYPERLINK("https://www.cadth.ca/fluticasone-propionate-salmeterol-xinafoate", "Arbesda RespiClick")</f>
        <v>Arbesda RespiClick</v>
      </c>
      <c r="B64" t="s">
        <v>276</v>
      </c>
      <c r="C64" t="s">
        <v>164</v>
      </c>
      <c r="D64" t="s">
        <v>55</v>
      </c>
      <c r="E64" t="s">
        <v>40</v>
      </c>
      <c r="F64" s="3">
        <v>43012</v>
      </c>
      <c r="G64" s="3">
        <v>43453</v>
      </c>
      <c r="H64" t="s">
        <v>277</v>
      </c>
      <c r="I64" t="s">
        <v>33</v>
      </c>
      <c r="N64" s="3"/>
      <c r="O64" t="s">
        <v>166</v>
      </c>
      <c r="Q64" s="3"/>
      <c r="R64" s="3"/>
      <c r="S64" s="3"/>
      <c r="T64" t="s">
        <v>36</v>
      </c>
      <c r="V64" s="3"/>
      <c r="W64" s="3"/>
      <c r="X64" s="3"/>
      <c r="Y64" s="3"/>
      <c r="Z64" s="3"/>
      <c r="AA64" s="3"/>
      <c r="AB64" s="3"/>
    </row>
    <row r="65" spans="1:29" x14ac:dyDescent="0.3">
      <c r="A65" s="2" t="str">
        <f>HYPERLINK("https://www.cadth.ca/fluticasone-furoate", "Arnuity Ellipta")</f>
        <v>Arnuity Ellipta</v>
      </c>
      <c r="B65" t="s">
        <v>278</v>
      </c>
      <c r="C65" t="s">
        <v>164</v>
      </c>
      <c r="D65" t="s">
        <v>50</v>
      </c>
      <c r="E65" t="s">
        <v>40</v>
      </c>
      <c r="F65" s="3">
        <v>42181</v>
      </c>
      <c r="G65" s="3">
        <v>42355</v>
      </c>
      <c r="H65" t="s">
        <v>279</v>
      </c>
      <c r="I65" t="s">
        <v>33</v>
      </c>
      <c r="N65" s="3"/>
      <c r="O65" t="s">
        <v>259</v>
      </c>
      <c r="Q65" s="3"/>
      <c r="R65" s="3"/>
      <c r="S65" s="3"/>
      <c r="T65" t="s">
        <v>36</v>
      </c>
      <c r="V65" s="3"/>
      <c r="W65" s="3"/>
      <c r="X65" s="3"/>
      <c r="Y65" s="3"/>
      <c r="Z65" s="3"/>
      <c r="AA65" s="3"/>
      <c r="AB65" s="3"/>
    </row>
    <row r="66" spans="1:29" x14ac:dyDescent="0.3">
      <c r="A66" s="2" t="str">
        <f>HYPERLINK("https://www.cadth.ca/node/79647", "Arzerra")</f>
        <v>Arzerra</v>
      </c>
      <c r="B66" t="s">
        <v>280</v>
      </c>
      <c r="C66" t="s">
        <v>281</v>
      </c>
      <c r="D66" t="s">
        <v>127</v>
      </c>
      <c r="E66" t="s">
        <v>40</v>
      </c>
      <c r="F66" s="3">
        <v>41743</v>
      </c>
      <c r="G66" s="3">
        <v>42033</v>
      </c>
      <c r="H66" t="s">
        <v>282</v>
      </c>
      <c r="I66" t="s">
        <v>33</v>
      </c>
      <c r="J66" t="s">
        <v>283</v>
      </c>
      <c r="K66" t="s">
        <v>284</v>
      </c>
      <c r="L66" t="s">
        <v>285</v>
      </c>
      <c r="M66" t="s">
        <v>60</v>
      </c>
      <c r="N66" s="3">
        <v>41914</v>
      </c>
      <c r="O66" t="s">
        <v>259</v>
      </c>
      <c r="P66" t="s">
        <v>259</v>
      </c>
      <c r="Q66" s="3"/>
      <c r="R66" s="3"/>
      <c r="S66" s="3">
        <v>41751</v>
      </c>
      <c r="U66" t="s">
        <v>62</v>
      </c>
      <c r="V66" s="3">
        <v>41758</v>
      </c>
      <c r="W66" s="3">
        <v>41836</v>
      </c>
      <c r="X66" s="3">
        <v>41963</v>
      </c>
      <c r="Y66" s="3">
        <v>41977</v>
      </c>
      <c r="Z66" s="3">
        <v>41991</v>
      </c>
      <c r="AA66" s="3"/>
      <c r="AB66" s="3">
        <v>42058</v>
      </c>
      <c r="AC66" t="s">
        <v>286</v>
      </c>
    </row>
    <row r="67" spans="1:29" x14ac:dyDescent="0.3">
      <c r="A67" s="2" t="str">
        <f>HYPERLINK("https://www.cadth.ca/mometasone-furoate", "ASMANEX")</f>
        <v>ASMANEX</v>
      </c>
      <c r="B67" t="s">
        <v>287</v>
      </c>
      <c r="C67" t="s">
        <v>164</v>
      </c>
      <c r="D67" t="s">
        <v>160</v>
      </c>
      <c r="E67" t="s">
        <v>40</v>
      </c>
      <c r="F67" s="3">
        <v>40857</v>
      </c>
      <c r="G67" s="3">
        <v>41045</v>
      </c>
      <c r="H67" t="s">
        <v>288</v>
      </c>
      <c r="I67" t="s">
        <v>33</v>
      </c>
      <c r="N67" s="3"/>
      <c r="O67" t="s">
        <v>289</v>
      </c>
      <c r="Q67" s="3"/>
      <c r="R67" s="3"/>
      <c r="S67" s="3"/>
      <c r="T67" t="s">
        <v>36</v>
      </c>
      <c r="V67" s="3"/>
      <c r="W67" s="3"/>
      <c r="X67" s="3"/>
      <c r="Y67" s="3"/>
      <c r="Z67" s="3"/>
      <c r="AA67" s="3"/>
      <c r="AB67" s="3"/>
    </row>
    <row r="68" spans="1:29" x14ac:dyDescent="0.3">
      <c r="A68" s="2" t="str">
        <f>HYPERLINK("https://www.cadth.ca/indacaterol-mometasone-furoate", "Atectura Breezhaler")</f>
        <v>Atectura Breezhaler</v>
      </c>
      <c r="B68" t="s">
        <v>290</v>
      </c>
      <c r="C68" t="s">
        <v>291</v>
      </c>
      <c r="D68" t="s">
        <v>55</v>
      </c>
      <c r="E68" t="s">
        <v>40</v>
      </c>
      <c r="F68" s="3">
        <v>43970</v>
      </c>
      <c r="G68" s="3">
        <v>44159</v>
      </c>
      <c r="H68" t="s">
        <v>292</v>
      </c>
      <c r="I68" t="s">
        <v>33</v>
      </c>
      <c r="N68" s="3"/>
      <c r="O68" t="s">
        <v>71</v>
      </c>
      <c r="Q68" s="3"/>
      <c r="R68" s="3"/>
      <c r="S68" s="3"/>
      <c r="T68" t="s">
        <v>36</v>
      </c>
      <c r="V68" s="3"/>
      <c r="W68" s="3"/>
      <c r="X68" s="3"/>
      <c r="Y68" s="3"/>
      <c r="Z68" s="3"/>
      <c r="AA68" s="3"/>
      <c r="AB68" s="3"/>
    </row>
    <row r="69" spans="1:29" x14ac:dyDescent="0.3">
      <c r="A69" s="2" t="str">
        <f>HYPERLINK("https://www.cadth.ca/node/115232", "Atriance")</f>
        <v>Atriance</v>
      </c>
      <c r="B69" t="s">
        <v>293</v>
      </c>
      <c r="E69" t="s">
        <v>154</v>
      </c>
      <c r="F69" s="3"/>
      <c r="G69" s="3"/>
      <c r="H69" t="s">
        <v>294</v>
      </c>
      <c r="I69" t="s">
        <v>33</v>
      </c>
      <c r="J69" t="s">
        <v>295</v>
      </c>
      <c r="K69" t="s">
        <v>284</v>
      </c>
      <c r="L69" t="s">
        <v>296</v>
      </c>
      <c r="N69" s="3">
        <v>42216</v>
      </c>
      <c r="O69" t="s">
        <v>71</v>
      </c>
      <c r="P69" t="s">
        <v>297</v>
      </c>
      <c r="Q69" s="3"/>
      <c r="R69" s="3"/>
      <c r="S69" s="3"/>
      <c r="V69" s="3"/>
      <c r="W69" s="3"/>
      <c r="X69" s="3"/>
      <c r="Y69" s="3"/>
      <c r="Z69" s="3"/>
      <c r="AA69" s="3"/>
      <c r="AB69" s="3"/>
      <c r="AC69" t="s">
        <v>298</v>
      </c>
    </row>
    <row r="70" spans="1:29" x14ac:dyDescent="0.3">
      <c r="A70" s="2" t="str">
        <f>HYPERLINK("https://www.cadth.ca/efavirenz-emtricitabine-tenofovir-disoproxil-fumarate", "Atripla")</f>
        <v>Atripla</v>
      </c>
      <c r="B70" t="s">
        <v>299</v>
      </c>
      <c r="C70" t="s">
        <v>300</v>
      </c>
      <c r="D70" t="s">
        <v>46</v>
      </c>
      <c r="E70" t="s">
        <v>40</v>
      </c>
      <c r="F70" s="3">
        <v>39385</v>
      </c>
      <c r="G70" s="3">
        <v>39555</v>
      </c>
      <c r="H70" t="s">
        <v>301</v>
      </c>
      <c r="I70" t="s">
        <v>33</v>
      </c>
      <c r="N70" s="3"/>
      <c r="O70" t="s">
        <v>302</v>
      </c>
      <c r="Q70" s="3"/>
      <c r="R70" s="3"/>
      <c r="S70" s="3"/>
      <c r="T70" t="s">
        <v>36</v>
      </c>
      <c r="V70" s="3"/>
      <c r="W70" s="3"/>
      <c r="X70" s="3"/>
      <c r="Y70" s="3"/>
      <c r="Z70" s="3"/>
      <c r="AA70" s="3"/>
      <c r="AB70" s="3"/>
    </row>
    <row r="71" spans="1:29" x14ac:dyDescent="0.3">
      <c r="A71" s="2" t="str">
        <f>HYPERLINK("https://www.cadth.ca/teriflunomide", "Aubagio")</f>
        <v>Aubagio</v>
      </c>
      <c r="B71" t="s">
        <v>303</v>
      </c>
      <c r="C71" t="s">
        <v>304</v>
      </c>
      <c r="D71" t="s">
        <v>228</v>
      </c>
      <c r="E71" t="s">
        <v>40</v>
      </c>
      <c r="F71" s="3">
        <v>41514</v>
      </c>
      <c r="G71" s="3">
        <v>41808</v>
      </c>
      <c r="H71" t="s">
        <v>305</v>
      </c>
      <c r="I71" t="s">
        <v>33</v>
      </c>
      <c r="N71" s="3"/>
      <c r="O71" t="s">
        <v>306</v>
      </c>
      <c r="Q71" s="3"/>
      <c r="R71" s="3"/>
      <c r="S71" s="3"/>
      <c r="T71" t="s">
        <v>36</v>
      </c>
      <c r="V71" s="3"/>
      <c r="W71" s="3"/>
      <c r="X71" s="3"/>
      <c r="Y71" s="3"/>
      <c r="Z71" s="3"/>
      <c r="AA71" s="3"/>
      <c r="AB71" s="3"/>
    </row>
    <row r="72" spans="1:29" x14ac:dyDescent="0.3">
      <c r="A72" s="2" t="str">
        <f>HYPERLINK("https://www.cadth.ca/node/79693", "Avastin")</f>
        <v>Avastin</v>
      </c>
      <c r="B72" t="s">
        <v>307</v>
      </c>
      <c r="C72" t="s">
        <v>308</v>
      </c>
      <c r="D72" t="s">
        <v>55</v>
      </c>
      <c r="E72" t="s">
        <v>40</v>
      </c>
      <c r="F72" s="3">
        <v>41939</v>
      </c>
      <c r="G72" s="3">
        <v>42086</v>
      </c>
      <c r="H72" t="s">
        <v>309</v>
      </c>
      <c r="I72" t="s">
        <v>33</v>
      </c>
      <c r="J72" t="s">
        <v>310</v>
      </c>
      <c r="K72" t="s">
        <v>311</v>
      </c>
      <c r="L72" t="s">
        <v>312</v>
      </c>
      <c r="M72" t="s">
        <v>60</v>
      </c>
      <c r="N72" s="3"/>
      <c r="O72" t="s">
        <v>80</v>
      </c>
      <c r="P72" t="s">
        <v>80</v>
      </c>
      <c r="Q72" s="3"/>
      <c r="R72" s="3"/>
      <c r="S72" s="3">
        <v>41946</v>
      </c>
      <c r="U72" t="s">
        <v>214</v>
      </c>
      <c r="V72" s="3">
        <v>41953</v>
      </c>
      <c r="W72" s="3">
        <v>41989</v>
      </c>
      <c r="X72" s="3">
        <v>42054</v>
      </c>
      <c r="Y72" s="3">
        <v>42068</v>
      </c>
      <c r="Z72" s="3">
        <v>42082</v>
      </c>
      <c r="AA72" s="3"/>
      <c r="AB72" s="3">
        <v>42102</v>
      </c>
    </row>
    <row r="73" spans="1:29" x14ac:dyDescent="0.3">
      <c r="A73" s="2" t="str">
        <f>HYPERLINK("https://www.cadth.ca/node/89568", "Avastin")</f>
        <v>Avastin</v>
      </c>
      <c r="B73" t="s">
        <v>307</v>
      </c>
      <c r="C73" t="s">
        <v>313</v>
      </c>
      <c r="D73" t="s">
        <v>55</v>
      </c>
      <c r="E73" t="s">
        <v>40</v>
      </c>
      <c r="F73" s="3">
        <v>42306</v>
      </c>
      <c r="G73" s="3">
        <v>42495</v>
      </c>
      <c r="H73" t="s">
        <v>314</v>
      </c>
      <c r="I73" t="s">
        <v>33</v>
      </c>
      <c r="J73" t="s">
        <v>310</v>
      </c>
      <c r="K73" t="s">
        <v>311</v>
      </c>
      <c r="L73" t="s">
        <v>315</v>
      </c>
      <c r="N73" s="3">
        <v>42272</v>
      </c>
      <c r="O73" t="s">
        <v>316</v>
      </c>
      <c r="P73" t="s">
        <v>316</v>
      </c>
      <c r="Q73" s="3"/>
      <c r="R73" s="3"/>
      <c r="S73" s="3">
        <v>42313</v>
      </c>
      <c r="U73" t="s">
        <v>214</v>
      </c>
      <c r="V73" s="3">
        <v>42320</v>
      </c>
      <c r="W73" s="3">
        <v>42354</v>
      </c>
      <c r="X73" s="3">
        <v>42418</v>
      </c>
      <c r="Y73" s="3">
        <v>42432</v>
      </c>
      <c r="Z73" s="3">
        <v>42446</v>
      </c>
      <c r="AA73" s="3"/>
      <c r="AB73" s="3">
        <v>42510</v>
      </c>
    </row>
    <row r="74" spans="1:29" x14ac:dyDescent="0.3">
      <c r="A74" s="2" t="str">
        <f>HYPERLINK("https://www.cadth.ca/node/79649", "Avastin")</f>
        <v>Avastin</v>
      </c>
      <c r="B74" t="s">
        <v>307</v>
      </c>
      <c r="C74" t="s">
        <v>317</v>
      </c>
      <c r="D74" t="s">
        <v>55</v>
      </c>
      <c r="E74" t="s">
        <v>40</v>
      </c>
      <c r="F74" s="3">
        <v>41971</v>
      </c>
      <c r="G74" s="3">
        <v>42159</v>
      </c>
      <c r="H74" t="s">
        <v>318</v>
      </c>
      <c r="I74" t="s">
        <v>33</v>
      </c>
      <c r="J74" t="s">
        <v>310</v>
      </c>
      <c r="K74" t="s">
        <v>311</v>
      </c>
      <c r="L74" t="s">
        <v>319</v>
      </c>
      <c r="M74" t="s">
        <v>60</v>
      </c>
      <c r="N74" s="3"/>
      <c r="O74" t="s">
        <v>80</v>
      </c>
      <c r="P74" t="s">
        <v>80</v>
      </c>
      <c r="Q74" s="3"/>
      <c r="R74" s="3"/>
      <c r="S74" s="3">
        <v>41978</v>
      </c>
      <c r="U74" t="s">
        <v>214</v>
      </c>
      <c r="V74" s="3">
        <v>41985</v>
      </c>
      <c r="W74" s="3">
        <v>42030</v>
      </c>
      <c r="X74" s="3">
        <v>42082</v>
      </c>
      <c r="Y74" s="3">
        <v>42096</v>
      </c>
      <c r="Z74" s="3">
        <v>42111</v>
      </c>
      <c r="AA74" s="3"/>
      <c r="AB74" s="3">
        <v>42174</v>
      </c>
    </row>
    <row r="75" spans="1:29" x14ac:dyDescent="0.3">
      <c r="A75" s="2" t="str">
        <f>HYPERLINK("https://www.cadth.ca/node/98590", "Avastin")</f>
        <v>Avastin</v>
      </c>
      <c r="B75" t="s">
        <v>307</v>
      </c>
      <c r="E75" t="s">
        <v>113</v>
      </c>
      <c r="F75" s="3">
        <v>42720</v>
      </c>
      <c r="G75" s="3"/>
      <c r="H75" t="s">
        <v>320</v>
      </c>
      <c r="I75" t="s">
        <v>33</v>
      </c>
      <c r="J75" t="s">
        <v>321</v>
      </c>
      <c r="K75" t="s">
        <v>205</v>
      </c>
      <c r="L75" t="s">
        <v>322</v>
      </c>
      <c r="M75" t="s">
        <v>60</v>
      </c>
      <c r="N75" s="3"/>
      <c r="O75" t="s">
        <v>80</v>
      </c>
      <c r="P75" t="s">
        <v>80</v>
      </c>
      <c r="Q75" s="3"/>
      <c r="R75" s="3"/>
      <c r="S75" s="3">
        <v>42727</v>
      </c>
      <c r="U75" t="s">
        <v>214</v>
      </c>
      <c r="V75" s="3">
        <v>42744</v>
      </c>
      <c r="W75" s="3">
        <v>42793</v>
      </c>
      <c r="X75" s="3"/>
      <c r="Y75" s="3"/>
      <c r="Z75" s="3"/>
      <c r="AA75" s="3"/>
      <c r="AB75" s="3"/>
      <c r="AC75" t="s">
        <v>323</v>
      </c>
    </row>
    <row r="76" spans="1:29" x14ac:dyDescent="0.3">
      <c r="A76" s="2" t="str">
        <f>HYPERLINK("https://www.cadth.ca/node/79648", "Avastin (with capecitabine)")</f>
        <v>Avastin (with capecitabine)</v>
      </c>
      <c r="B76" t="s">
        <v>307</v>
      </c>
      <c r="C76" t="s">
        <v>324</v>
      </c>
      <c r="D76" t="s">
        <v>55</v>
      </c>
      <c r="E76" t="s">
        <v>40</v>
      </c>
      <c r="F76" s="3">
        <v>42053</v>
      </c>
      <c r="G76" s="3">
        <v>42206</v>
      </c>
      <c r="H76" t="s">
        <v>325</v>
      </c>
      <c r="I76" t="s">
        <v>33</v>
      </c>
      <c r="J76" t="s">
        <v>326</v>
      </c>
      <c r="K76" t="s">
        <v>58</v>
      </c>
      <c r="L76" t="s">
        <v>327</v>
      </c>
      <c r="N76" s="3">
        <v>38600</v>
      </c>
      <c r="O76" t="s">
        <v>80</v>
      </c>
      <c r="P76" t="s">
        <v>328</v>
      </c>
      <c r="Q76" s="3"/>
      <c r="R76" s="3"/>
      <c r="S76" s="3">
        <v>42060</v>
      </c>
      <c r="U76" t="s">
        <v>62</v>
      </c>
      <c r="V76" s="3">
        <v>42067</v>
      </c>
      <c r="W76" s="3">
        <v>42114</v>
      </c>
      <c r="X76" s="3">
        <v>42173</v>
      </c>
      <c r="Y76" s="3">
        <v>42188</v>
      </c>
      <c r="Z76" s="3">
        <v>42202</v>
      </c>
      <c r="AA76" s="3"/>
      <c r="AB76" s="3">
        <v>42222</v>
      </c>
    </row>
    <row r="77" spans="1:29" x14ac:dyDescent="0.3">
      <c r="A77" s="2" t="str">
        <f>HYPERLINK("https://www.cadth.ca/dutasteride", "Avodart")</f>
        <v>Avodart</v>
      </c>
      <c r="B77" t="s">
        <v>329</v>
      </c>
      <c r="C77" t="s">
        <v>330</v>
      </c>
      <c r="D77" t="s">
        <v>262</v>
      </c>
      <c r="E77" t="s">
        <v>40</v>
      </c>
      <c r="F77" s="3">
        <v>38223</v>
      </c>
      <c r="G77" s="3">
        <v>38372</v>
      </c>
      <c r="H77" t="s">
        <v>331</v>
      </c>
      <c r="I77" t="s">
        <v>33</v>
      </c>
      <c r="N77" s="3"/>
      <c r="O77" t="s">
        <v>259</v>
      </c>
      <c r="Q77" s="3"/>
      <c r="R77" s="3"/>
      <c r="S77" s="3"/>
      <c r="T77" t="s">
        <v>36</v>
      </c>
      <c r="V77" s="3"/>
      <c r="W77" s="3"/>
      <c r="X77" s="3"/>
      <c r="Y77" s="3"/>
      <c r="Z77" s="3"/>
      <c r="AA77" s="3"/>
      <c r="AB77" s="3"/>
    </row>
    <row r="78" spans="1:29" x14ac:dyDescent="0.3">
      <c r="A78" s="2" t="str">
        <f>HYPERLINK("https://www.cadth.ca/almotriptan", "Axert")</f>
        <v>Axert</v>
      </c>
      <c r="B78" t="s">
        <v>332</v>
      </c>
      <c r="C78" t="s">
        <v>187</v>
      </c>
      <c r="D78" t="s">
        <v>262</v>
      </c>
      <c r="E78" t="s">
        <v>40</v>
      </c>
      <c r="F78" s="3">
        <v>37979</v>
      </c>
      <c r="G78" s="3">
        <v>38134</v>
      </c>
      <c r="H78" t="s">
        <v>333</v>
      </c>
      <c r="I78" t="s">
        <v>33</v>
      </c>
      <c r="N78" s="3"/>
      <c r="O78" t="s">
        <v>334</v>
      </c>
      <c r="Q78" s="3"/>
      <c r="R78" s="3"/>
      <c r="S78" s="3"/>
      <c r="T78" t="s">
        <v>36</v>
      </c>
      <c r="V78" s="3"/>
      <c r="W78" s="3"/>
      <c r="X78" s="3"/>
      <c r="Y78" s="3"/>
      <c r="Z78" s="3"/>
      <c r="AA78" s="3"/>
      <c r="AB78" s="3"/>
    </row>
    <row r="79" spans="1:29" x14ac:dyDescent="0.3">
      <c r="A79" s="2" t="str">
        <f>HYPERLINK("https://www.cadth.ca/brinzolamide-and-timolol-maleate-suspension", "Azarga")</f>
        <v>Azarga</v>
      </c>
      <c r="B79" t="s">
        <v>335</v>
      </c>
      <c r="C79" t="s">
        <v>336</v>
      </c>
      <c r="D79" t="s">
        <v>262</v>
      </c>
      <c r="E79" t="s">
        <v>40</v>
      </c>
      <c r="F79" s="3">
        <v>40053</v>
      </c>
      <c r="G79" s="3">
        <v>40227</v>
      </c>
      <c r="H79" t="s">
        <v>337</v>
      </c>
      <c r="I79" t="s">
        <v>33</v>
      </c>
      <c r="N79" s="3"/>
      <c r="O79" t="s">
        <v>338</v>
      </c>
      <c r="Q79" s="3"/>
      <c r="R79" s="3"/>
      <c r="S79" s="3"/>
      <c r="T79" t="s">
        <v>36</v>
      </c>
      <c r="V79" s="3"/>
      <c r="W79" s="3"/>
      <c r="X79" s="3"/>
      <c r="Y79" s="3"/>
      <c r="Z79" s="3"/>
      <c r="AA79" s="3"/>
      <c r="AB79" s="3"/>
    </row>
    <row r="80" spans="1:29" x14ac:dyDescent="0.3">
      <c r="A80" s="2" t="str">
        <f>HYPERLINK("https://www.cadth.ca/rasagiline-mesylate", "Azilect")</f>
        <v>Azilect</v>
      </c>
      <c r="B80" t="s">
        <v>339</v>
      </c>
      <c r="C80" t="s">
        <v>340</v>
      </c>
      <c r="D80" t="s">
        <v>39</v>
      </c>
      <c r="E80" t="s">
        <v>40</v>
      </c>
      <c r="F80" s="3">
        <v>38961</v>
      </c>
      <c r="G80" s="3">
        <v>39169</v>
      </c>
      <c r="H80" t="s">
        <v>341</v>
      </c>
      <c r="I80" t="s">
        <v>33</v>
      </c>
      <c r="N80" s="3"/>
      <c r="O80" t="s">
        <v>342</v>
      </c>
      <c r="Q80" s="3"/>
      <c r="R80" s="3"/>
      <c r="S80" s="3"/>
      <c r="T80" t="s">
        <v>36</v>
      </c>
      <c r="V80" s="3"/>
      <c r="W80" s="3"/>
      <c r="X80" s="3"/>
      <c r="Y80" s="3"/>
      <c r="Z80" s="3"/>
      <c r="AA80" s="3"/>
      <c r="AB80" s="3"/>
    </row>
    <row r="81" spans="1:29" x14ac:dyDescent="0.3">
      <c r="A81" s="2" t="str">
        <f>HYPERLINK("https://www.cadth.ca/rasagiline-mesylate-0", "Azilect")</f>
        <v>Azilect</v>
      </c>
      <c r="B81" t="s">
        <v>339</v>
      </c>
      <c r="C81" t="s">
        <v>343</v>
      </c>
      <c r="E81" t="s">
        <v>40</v>
      </c>
      <c r="F81" s="3">
        <v>39882</v>
      </c>
      <c r="G81" s="3"/>
      <c r="H81" t="s">
        <v>344</v>
      </c>
      <c r="I81" t="s">
        <v>33</v>
      </c>
      <c r="N81" s="3"/>
      <c r="O81" t="s">
        <v>345</v>
      </c>
      <c r="Q81" s="3"/>
      <c r="R81" s="3"/>
      <c r="S81" s="3"/>
      <c r="T81" t="s">
        <v>49</v>
      </c>
      <c r="V81" s="3"/>
      <c r="W81" s="3"/>
      <c r="X81" s="3"/>
      <c r="Y81" s="3"/>
      <c r="Z81" s="3"/>
      <c r="AA81" s="3"/>
      <c r="AB81" s="3"/>
    </row>
    <row r="82" spans="1:29" x14ac:dyDescent="0.3">
      <c r="A82" s="2" t="str">
        <f>HYPERLINK("https://www.cadth.ca/rufinamide", "Banzel")</f>
        <v>Banzel</v>
      </c>
      <c r="B82" t="s">
        <v>346</v>
      </c>
      <c r="C82" t="s">
        <v>347</v>
      </c>
      <c r="D82" t="s">
        <v>46</v>
      </c>
      <c r="E82" t="s">
        <v>40</v>
      </c>
      <c r="F82" s="3">
        <v>40806</v>
      </c>
      <c r="G82" s="3">
        <v>40983</v>
      </c>
      <c r="H82" t="s">
        <v>348</v>
      </c>
      <c r="I82" t="s">
        <v>33</v>
      </c>
      <c r="N82" s="3"/>
      <c r="O82" t="s">
        <v>224</v>
      </c>
      <c r="Q82" s="3"/>
      <c r="R82" s="3"/>
      <c r="S82" s="3"/>
      <c r="T82" t="s">
        <v>36</v>
      </c>
      <c r="V82" s="3"/>
      <c r="W82" s="3"/>
      <c r="X82" s="3"/>
      <c r="Y82" s="3"/>
      <c r="Z82" s="3"/>
      <c r="AA82" s="3"/>
      <c r="AB82" s="3"/>
    </row>
    <row r="83" spans="1:29" x14ac:dyDescent="0.3">
      <c r="A83" s="2" t="str">
        <f>HYPERLINK("https://www.cadth.ca/glucagon", "Baqsimi")</f>
        <v>Baqsimi</v>
      </c>
      <c r="B83" t="s">
        <v>349</v>
      </c>
      <c r="C83" t="s">
        <v>350</v>
      </c>
      <c r="D83" t="s">
        <v>55</v>
      </c>
      <c r="E83" t="s">
        <v>40</v>
      </c>
      <c r="F83" s="3">
        <v>43670</v>
      </c>
      <c r="G83" s="3">
        <v>43852</v>
      </c>
      <c r="H83" t="s">
        <v>351</v>
      </c>
      <c r="I83" t="s">
        <v>33</v>
      </c>
      <c r="N83" s="3"/>
      <c r="O83" t="s">
        <v>133</v>
      </c>
      <c r="Q83" s="3"/>
      <c r="R83" s="3"/>
      <c r="S83" s="3"/>
      <c r="T83" t="s">
        <v>36</v>
      </c>
      <c r="V83" s="3"/>
      <c r="W83" s="3"/>
      <c r="X83" s="3"/>
      <c r="Y83" s="3"/>
      <c r="Z83" s="3"/>
      <c r="AA83" s="3"/>
      <c r="AB83" s="3"/>
    </row>
    <row r="84" spans="1:29" x14ac:dyDescent="0.3">
      <c r="A84" s="2" t="str">
        <f>HYPERLINK("https://www.cadth.ca/entecavir", "Baraclude")</f>
        <v>Baraclude</v>
      </c>
      <c r="B84" t="s">
        <v>352</v>
      </c>
      <c r="C84" t="s">
        <v>353</v>
      </c>
      <c r="D84" t="s">
        <v>46</v>
      </c>
      <c r="E84" t="s">
        <v>40</v>
      </c>
      <c r="F84" s="3">
        <v>39063</v>
      </c>
      <c r="G84" s="3">
        <v>39414</v>
      </c>
      <c r="H84" t="s">
        <v>354</v>
      </c>
      <c r="I84" t="s">
        <v>33</v>
      </c>
      <c r="N84" s="3"/>
      <c r="O84" t="s">
        <v>42</v>
      </c>
      <c r="Q84" s="3"/>
      <c r="R84" s="3"/>
      <c r="S84" s="3"/>
      <c r="T84" t="s">
        <v>36</v>
      </c>
      <c r="V84" s="3"/>
      <c r="W84" s="3"/>
      <c r="X84" s="3"/>
      <c r="Y84" s="3"/>
      <c r="Z84" s="3"/>
      <c r="AA84" s="3"/>
      <c r="AB84" s="3"/>
    </row>
    <row r="85" spans="1:29" x14ac:dyDescent="0.3">
      <c r="A85" s="2" t="str">
        <f>HYPERLINK("https://www.cadth.ca/insulin-glargine", "Basaglar")</f>
        <v>Basaglar</v>
      </c>
      <c r="B85" t="s">
        <v>355</v>
      </c>
      <c r="C85" t="s">
        <v>356</v>
      </c>
      <c r="D85" t="s">
        <v>46</v>
      </c>
      <c r="E85" t="s">
        <v>40</v>
      </c>
      <c r="F85" s="3">
        <v>42282</v>
      </c>
      <c r="G85" s="3">
        <v>42474</v>
      </c>
      <c r="H85" t="s">
        <v>357</v>
      </c>
      <c r="I85" t="s">
        <v>33</v>
      </c>
      <c r="N85" s="3"/>
      <c r="O85" t="s">
        <v>133</v>
      </c>
      <c r="Q85" s="3"/>
      <c r="R85" s="3"/>
      <c r="S85" s="3"/>
      <c r="T85" t="s">
        <v>36</v>
      </c>
      <c r="V85" s="3"/>
      <c r="W85" s="3"/>
      <c r="X85" s="3"/>
      <c r="Y85" s="3"/>
      <c r="Z85" s="3"/>
      <c r="AA85" s="3"/>
      <c r="AB85" s="3"/>
    </row>
    <row r="86" spans="1:29" x14ac:dyDescent="0.3">
      <c r="A86" s="2" t="str">
        <f>HYPERLINK("https://www.cadth.ca/node/105182", "Bavencio")</f>
        <v>Bavencio</v>
      </c>
      <c r="B86" t="s">
        <v>358</v>
      </c>
      <c r="C86" t="s">
        <v>359</v>
      </c>
      <c r="D86" t="s">
        <v>55</v>
      </c>
      <c r="E86" t="s">
        <v>40</v>
      </c>
      <c r="F86" s="3">
        <v>43018</v>
      </c>
      <c r="G86" s="3">
        <v>43180</v>
      </c>
      <c r="H86" t="s">
        <v>360</v>
      </c>
      <c r="I86" t="s">
        <v>33</v>
      </c>
      <c r="J86" t="s">
        <v>361</v>
      </c>
      <c r="K86" t="s">
        <v>362</v>
      </c>
      <c r="L86" t="s">
        <v>363</v>
      </c>
      <c r="M86" t="s">
        <v>60</v>
      </c>
      <c r="N86" s="3">
        <v>43087</v>
      </c>
      <c r="O86" t="s">
        <v>364</v>
      </c>
      <c r="P86" t="s">
        <v>364</v>
      </c>
      <c r="Q86" s="3"/>
      <c r="R86" s="3"/>
      <c r="S86" s="3">
        <v>43025</v>
      </c>
      <c r="U86" t="s">
        <v>99</v>
      </c>
      <c r="V86" s="3">
        <v>43032</v>
      </c>
      <c r="W86" s="3">
        <v>43073</v>
      </c>
      <c r="X86" s="3">
        <v>43146</v>
      </c>
      <c r="Y86" s="3">
        <v>43161</v>
      </c>
      <c r="Z86" s="3">
        <v>43175</v>
      </c>
      <c r="AA86" s="3"/>
      <c r="AB86" s="3">
        <v>43196</v>
      </c>
    </row>
    <row r="87" spans="1:29" x14ac:dyDescent="0.3">
      <c r="A87" s="2" t="str">
        <f>HYPERLINK("https://www.cadth.ca/node/122235", "Bavencio")</f>
        <v>Bavencio</v>
      </c>
      <c r="B87" t="s">
        <v>358</v>
      </c>
      <c r="C87" t="s">
        <v>365</v>
      </c>
      <c r="E87" t="s">
        <v>40</v>
      </c>
      <c r="F87" s="3">
        <v>44092</v>
      </c>
      <c r="G87" s="3">
        <v>44278</v>
      </c>
      <c r="H87" t="s">
        <v>366</v>
      </c>
      <c r="I87" t="s">
        <v>33</v>
      </c>
      <c r="J87" t="s">
        <v>361</v>
      </c>
      <c r="K87" t="s">
        <v>367</v>
      </c>
      <c r="L87" t="s">
        <v>368</v>
      </c>
      <c r="M87" t="s">
        <v>60</v>
      </c>
      <c r="N87" s="3">
        <v>44175</v>
      </c>
      <c r="O87" t="s">
        <v>364</v>
      </c>
      <c r="P87" t="s">
        <v>364</v>
      </c>
      <c r="Q87" s="3"/>
      <c r="R87" s="3"/>
      <c r="S87" s="3">
        <v>44106</v>
      </c>
      <c r="V87" s="3">
        <v>44106</v>
      </c>
      <c r="W87" s="3">
        <v>44162</v>
      </c>
      <c r="X87" s="3">
        <v>44245</v>
      </c>
      <c r="Y87" s="3">
        <v>44259</v>
      </c>
      <c r="Z87" s="3">
        <v>44273</v>
      </c>
      <c r="AA87" s="3"/>
      <c r="AB87" s="3">
        <v>44294</v>
      </c>
    </row>
    <row r="88" spans="1:29" x14ac:dyDescent="0.3">
      <c r="A88" s="2" t="str">
        <f>HYPERLINK("https://www.cadth.ca/node/109550", "Beleodaq")</f>
        <v>Beleodaq</v>
      </c>
      <c r="B88" t="s">
        <v>369</v>
      </c>
      <c r="E88" t="s">
        <v>113</v>
      </c>
      <c r="F88" s="3">
        <v>43280</v>
      </c>
      <c r="G88" s="3"/>
      <c r="H88" t="s">
        <v>370</v>
      </c>
      <c r="I88" t="s">
        <v>33</v>
      </c>
      <c r="K88" t="s">
        <v>96</v>
      </c>
      <c r="L88" t="s">
        <v>371</v>
      </c>
      <c r="M88" t="s">
        <v>60</v>
      </c>
      <c r="N88" s="3"/>
      <c r="O88" t="s">
        <v>372</v>
      </c>
      <c r="P88" t="s">
        <v>372</v>
      </c>
      <c r="Q88" s="3"/>
      <c r="R88" s="3"/>
      <c r="S88" s="3">
        <v>43290</v>
      </c>
      <c r="U88" t="s">
        <v>62</v>
      </c>
      <c r="V88" s="3">
        <v>43297</v>
      </c>
      <c r="W88" s="3"/>
      <c r="X88" s="3"/>
      <c r="Y88" s="3"/>
      <c r="Z88" s="3"/>
      <c r="AA88" s="3"/>
      <c r="AB88" s="3"/>
      <c r="AC88" t="s">
        <v>373</v>
      </c>
    </row>
    <row r="89" spans="1:29" x14ac:dyDescent="0.3">
      <c r="A89" s="2" t="str">
        <f>HYPERLINK("https://www.cadth.ca/belimumab-0", "Benlysta")</f>
        <v>Benlysta</v>
      </c>
      <c r="B89" t="s">
        <v>374</v>
      </c>
      <c r="C89" t="s">
        <v>375</v>
      </c>
      <c r="D89" t="s">
        <v>127</v>
      </c>
      <c r="E89" t="s">
        <v>40</v>
      </c>
      <c r="F89" s="3">
        <v>43614</v>
      </c>
      <c r="G89" s="3">
        <v>43943</v>
      </c>
      <c r="H89" t="s">
        <v>376</v>
      </c>
      <c r="I89" t="s">
        <v>33</v>
      </c>
      <c r="N89" s="3"/>
      <c r="O89" t="s">
        <v>259</v>
      </c>
      <c r="Q89" s="3"/>
      <c r="R89" s="3"/>
      <c r="S89" s="3"/>
      <c r="T89" t="s">
        <v>36</v>
      </c>
      <c r="V89" s="3"/>
      <c r="W89" s="3"/>
      <c r="X89" s="3"/>
      <c r="Y89" s="3"/>
      <c r="Z89" s="3"/>
      <c r="AA89" s="3"/>
      <c r="AB89" s="3"/>
    </row>
    <row r="90" spans="1:29" x14ac:dyDescent="0.3">
      <c r="A90" s="2" t="str">
        <f>HYPERLINK("https://www.cadth.ca/belimumab", "Benlysta")</f>
        <v>Benlysta</v>
      </c>
      <c r="B90" t="s">
        <v>374</v>
      </c>
      <c r="C90" t="s">
        <v>377</v>
      </c>
      <c r="D90" t="s">
        <v>39</v>
      </c>
      <c r="E90" t="s">
        <v>40</v>
      </c>
      <c r="F90" s="3">
        <v>40805</v>
      </c>
      <c r="G90" s="3">
        <v>41024</v>
      </c>
      <c r="H90" t="s">
        <v>378</v>
      </c>
      <c r="I90" t="s">
        <v>33</v>
      </c>
      <c r="N90" s="3"/>
      <c r="O90" t="s">
        <v>259</v>
      </c>
      <c r="Q90" s="3"/>
      <c r="R90" s="3"/>
      <c r="S90" s="3"/>
      <c r="T90" t="s">
        <v>36</v>
      </c>
      <c r="V90" s="3"/>
      <c r="W90" s="3"/>
      <c r="X90" s="3"/>
      <c r="Y90" s="3"/>
      <c r="Z90" s="3"/>
      <c r="AA90" s="3"/>
      <c r="AB90" s="3"/>
    </row>
    <row r="91" spans="1:29" x14ac:dyDescent="0.3">
      <c r="A91" s="2" t="str">
        <f>HYPERLINK("https://www.cadth.ca/brolucizumab", "Beovu")</f>
        <v>Beovu</v>
      </c>
      <c r="B91" t="s">
        <v>379</v>
      </c>
      <c r="C91" t="s">
        <v>380</v>
      </c>
      <c r="D91" t="s">
        <v>55</v>
      </c>
      <c r="E91" t="s">
        <v>40</v>
      </c>
      <c r="F91" s="3">
        <v>43734</v>
      </c>
      <c r="G91" s="3">
        <v>43972</v>
      </c>
      <c r="H91" t="s">
        <v>381</v>
      </c>
      <c r="I91" t="s">
        <v>33</v>
      </c>
      <c r="N91" s="3"/>
      <c r="O91" t="s">
        <v>71</v>
      </c>
      <c r="Q91" s="3"/>
      <c r="R91" s="3"/>
      <c r="S91" s="3"/>
      <c r="T91" t="s">
        <v>36</v>
      </c>
      <c r="V91" s="3"/>
      <c r="W91" s="3"/>
      <c r="X91" s="3"/>
      <c r="Y91" s="3"/>
      <c r="Z91" s="3"/>
      <c r="AA91" s="3"/>
      <c r="AB91" s="3"/>
    </row>
    <row r="92" spans="1:29" x14ac:dyDescent="0.3">
      <c r="A92" s="2" t="str">
        <f>HYPERLINK("https://www.cadth.ca/node/105755", "Besponsa")</f>
        <v>Besponsa</v>
      </c>
      <c r="B92" t="s">
        <v>382</v>
      </c>
      <c r="C92" t="s">
        <v>383</v>
      </c>
      <c r="D92" t="s">
        <v>55</v>
      </c>
      <c r="E92" t="s">
        <v>40</v>
      </c>
      <c r="F92" s="3">
        <v>43052</v>
      </c>
      <c r="G92" s="3">
        <v>43287</v>
      </c>
      <c r="H92" t="s">
        <v>384</v>
      </c>
      <c r="I92" t="s">
        <v>33</v>
      </c>
      <c r="J92" t="s">
        <v>385</v>
      </c>
      <c r="K92" t="s">
        <v>284</v>
      </c>
      <c r="L92" t="s">
        <v>386</v>
      </c>
      <c r="M92" t="s">
        <v>60</v>
      </c>
      <c r="N92" s="3">
        <v>43174</v>
      </c>
      <c r="O92" t="s">
        <v>387</v>
      </c>
      <c r="P92" t="s">
        <v>387</v>
      </c>
      <c r="Q92" s="3"/>
      <c r="R92" s="3"/>
      <c r="S92" s="3">
        <v>43059</v>
      </c>
      <c r="U92" t="s">
        <v>62</v>
      </c>
      <c r="V92" s="3">
        <v>43066</v>
      </c>
      <c r="W92" s="3">
        <v>43125</v>
      </c>
      <c r="X92" s="3">
        <v>43209</v>
      </c>
      <c r="Y92" s="3">
        <v>43223</v>
      </c>
      <c r="Z92" s="3">
        <v>43237</v>
      </c>
      <c r="AA92" s="3"/>
      <c r="AB92" s="3">
        <v>43304</v>
      </c>
    </row>
    <row r="93" spans="1:29" x14ac:dyDescent="0.3">
      <c r="A93" s="2" t="str">
        <f>HYPERLINK("https://www.cadth.ca/estradiol-and-progesterone", "Bijuva")</f>
        <v>Bijuva</v>
      </c>
      <c r="B93" t="s">
        <v>388</v>
      </c>
      <c r="C93" t="s">
        <v>389</v>
      </c>
      <c r="E93" t="s">
        <v>31</v>
      </c>
      <c r="F93" s="3">
        <v>44377</v>
      </c>
      <c r="G93" s="3"/>
      <c r="H93" t="s">
        <v>390</v>
      </c>
      <c r="I93" t="s">
        <v>33</v>
      </c>
      <c r="K93" t="s">
        <v>391</v>
      </c>
      <c r="N93" s="3"/>
      <c r="O93" t="s">
        <v>392</v>
      </c>
      <c r="Q93" s="3"/>
      <c r="R93" s="3"/>
      <c r="S93" s="3"/>
      <c r="T93" t="s">
        <v>36</v>
      </c>
      <c r="V93" s="3"/>
      <c r="W93" s="3"/>
      <c r="X93" s="3"/>
      <c r="Y93" s="3"/>
      <c r="Z93" s="3"/>
      <c r="AA93" s="3"/>
      <c r="AB93" s="3"/>
    </row>
    <row r="94" spans="1:29" x14ac:dyDescent="0.3">
      <c r="A94" s="2" t="str">
        <f>HYPERLINK("https://www.cadth.ca/bictegraviremtricitabinetenofovir-alafenamide", "Biktarvy")</f>
        <v>Biktarvy</v>
      </c>
      <c r="B94" t="s">
        <v>393</v>
      </c>
      <c r="C94" t="s">
        <v>394</v>
      </c>
      <c r="D94" t="s">
        <v>55</v>
      </c>
      <c r="E94" t="s">
        <v>40</v>
      </c>
      <c r="F94" s="3">
        <v>43220</v>
      </c>
      <c r="G94" s="3">
        <v>43398</v>
      </c>
      <c r="H94" t="s">
        <v>395</v>
      </c>
      <c r="I94" t="s">
        <v>33</v>
      </c>
      <c r="N94" s="3"/>
      <c r="O94" t="s">
        <v>396</v>
      </c>
      <c r="Q94" s="3"/>
      <c r="R94" s="3"/>
      <c r="S94" s="3"/>
      <c r="T94" t="s">
        <v>36</v>
      </c>
      <c r="V94" s="3"/>
      <c r="W94" s="3"/>
      <c r="X94" s="3"/>
      <c r="Y94" s="3"/>
      <c r="Z94" s="3"/>
      <c r="AA94" s="3"/>
      <c r="AB94" s="3"/>
    </row>
    <row r="95" spans="1:29" x14ac:dyDescent="0.3">
      <c r="A95" s="2" t="str">
        <f>HYPERLINK("https://www.cadth.ca/node/119162", "Blincyto")</f>
        <v>Blincyto</v>
      </c>
      <c r="B95" t="s">
        <v>397</v>
      </c>
      <c r="C95" t="s">
        <v>398</v>
      </c>
      <c r="D95" t="s">
        <v>55</v>
      </c>
      <c r="E95" t="s">
        <v>40</v>
      </c>
      <c r="F95" s="3">
        <v>43850</v>
      </c>
      <c r="G95" s="3">
        <v>44133</v>
      </c>
      <c r="H95" t="s">
        <v>399</v>
      </c>
      <c r="I95" t="s">
        <v>33</v>
      </c>
      <c r="J95" t="s">
        <v>400</v>
      </c>
      <c r="K95" t="s">
        <v>284</v>
      </c>
      <c r="L95" t="s">
        <v>401</v>
      </c>
      <c r="N95" s="3">
        <v>43818</v>
      </c>
      <c r="O95" t="s">
        <v>402</v>
      </c>
      <c r="P95" t="s">
        <v>402</v>
      </c>
      <c r="Q95" s="3"/>
      <c r="R95" s="3"/>
      <c r="S95" s="3">
        <v>43864</v>
      </c>
      <c r="V95" s="3">
        <v>43864</v>
      </c>
      <c r="W95" s="3">
        <v>43930</v>
      </c>
      <c r="X95" s="3">
        <v>44063</v>
      </c>
      <c r="Y95" s="3">
        <v>44077</v>
      </c>
      <c r="Z95" s="3">
        <v>44092</v>
      </c>
      <c r="AA95" s="3"/>
      <c r="AB95" s="3">
        <v>44148</v>
      </c>
    </row>
    <row r="96" spans="1:29" x14ac:dyDescent="0.3">
      <c r="A96" s="2" t="str">
        <f>HYPERLINK("https://www.cadth.ca/node/89292", "Blincyto")</f>
        <v>Blincyto</v>
      </c>
      <c r="B96" t="s">
        <v>397</v>
      </c>
      <c r="C96" t="s">
        <v>403</v>
      </c>
      <c r="D96" t="s">
        <v>55</v>
      </c>
      <c r="E96" t="s">
        <v>40</v>
      </c>
      <c r="F96" s="3">
        <v>42240</v>
      </c>
      <c r="G96" s="3">
        <v>42461</v>
      </c>
      <c r="H96" t="s">
        <v>404</v>
      </c>
      <c r="I96" t="s">
        <v>33</v>
      </c>
      <c r="J96" t="s">
        <v>405</v>
      </c>
      <c r="K96" t="s">
        <v>284</v>
      </c>
      <c r="L96" t="s">
        <v>406</v>
      </c>
      <c r="M96" t="s">
        <v>60</v>
      </c>
      <c r="N96" s="3">
        <v>42360</v>
      </c>
      <c r="O96" t="s">
        <v>407</v>
      </c>
      <c r="P96" t="s">
        <v>407</v>
      </c>
      <c r="Q96" s="3"/>
      <c r="R96" s="3"/>
      <c r="S96" s="3">
        <v>42247</v>
      </c>
      <c r="U96" t="s">
        <v>214</v>
      </c>
      <c r="V96" s="3">
        <v>42255</v>
      </c>
      <c r="W96" s="3">
        <v>42296</v>
      </c>
      <c r="X96" s="3">
        <v>42390</v>
      </c>
      <c r="Y96" s="3">
        <v>42404</v>
      </c>
      <c r="Z96" s="3">
        <v>42419</v>
      </c>
      <c r="AA96" s="3"/>
      <c r="AB96" s="3">
        <v>42478</v>
      </c>
      <c r="AC96" t="s">
        <v>408</v>
      </c>
    </row>
    <row r="97" spans="1:29" x14ac:dyDescent="0.3">
      <c r="A97" s="2" t="str">
        <f>HYPERLINK("https://www.cadth.ca/node/110242", "Blincyto")</f>
        <v>Blincyto</v>
      </c>
      <c r="B97" t="s">
        <v>397</v>
      </c>
      <c r="C97" t="s">
        <v>409</v>
      </c>
      <c r="D97" t="s">
        <v>55</v>
      </c>
      <c r="E97" t="s">
        <v>40</v>
      </c>
      <c r="F97" s="3">
        <v>43343</v>
      </c>
      <c r="G97" s="3">
        <v>43559</v>
      </c>
      <c r="H97" t="s">
        <v>410</v>
      </c>
      <c r="I97" t="s">
        <v>33</v>
      </c>
      <c r="J97" t="s">
        <v>400</v>
      </c>
      <c r="K97" t="s">
        <v>284</v>
      </c>
      <c r="L97" t="s">
        <v>411</v>
      </c>
      <c r="N97" s="3">
        <v>43164</v>
      </c>
      <c r="O97" t="s">
        <v>407</v>
      </c>
      <c r="P97" t="s">
        <v>407</v>
      </c>
      <c r="Q97" s="3"/>
      <c r="R97" s="3"/>
      <c r="S97" s="3">
        <v>43360</v>
      </c>
      <c r="V97" s="3">
        <v>43360</v>
      </c>
      <c r="W97" s="3">
        <v>43397</v>
      </c>
      <c r="X97" s="3">
        <v>43482</v>
      </c>
      <c r="Y97" s="3">
        <v>43496</v>
      </c>
      <c r="Z97" s="3">
        <v>43510</v>
      </c>
      <c r="AA97" s="3"/>
      <c r="AB97" s="3">
        <v>43577</v>
      </c>
    </row>
    <row r="98" spans="1:29" x14ac:dyDescent="0.3">
      <c r="A98" s="2" t="str">
        <f>HYPERLINK("https://www.cadth.ca/node/109551", "Blincyto")</f>
        <v>Blincyto</v>
      </c>
      <c r="B98" t="s">
        <v>397</v>
      </c>
      <c r="E98" t="s">
        <v>113</v>
      </c>
      <c r="F98" s="3">
        <v>43280</v>
      </c>
      <c r="G98" s="3"/>
      <c r="H98" t="s">
        <v>412</v>
      </c>
      <c r="I98" t="s">
        <v>33</v>
      </c>
      <c r="K98" t="s">
        <v>284</v>
      </c>
      <c r="L98" t="s">
        <v>413</v>
      </c>
      <c r="M98" t="s">
        <v>60</v>
      </c>
      <c r="N98" s="3"/>
      <c r="O98" t="s">
        <v>407</v>
      </c>
      <c r="P98" t="s">
        <v>407</v>
      </c>
      <c r="Q98" s="3"/>
      <c r="R98" s="3"/>
      <c r="S98" s="3">
        <v>43290</v>
      </c>
      <c r="U98" t="s">
        <v>62</v>
      </c>
      <c r="V98" s="3">
        <v>43297</v>
      </c>
      <c r="W98" s="3">
        <v>43341</v>
      </c>
      <c r="X98" s="3"/>
      <c r="Y98" s="3"/>
      <c r="Z98" s="3"/>
      <c r="AA98" s="3"/>
      <c r="AB98" s="3"/>
      <c r="AC98" t="s">
        <v>414</v>
      </c>
    </row>
    <row r="99" spans="1:29" x14ac:dyDescent="0.3">
      <c r="A99" s="2" t="str">
        <f>HYPERLINK("https://www.cadth.ca/node/100311", "Blincyto")</f>
        <v>Blincyto</v>
      </c>
      <c r="B99" t="s">
        <v>397</v>
      </c>
      <c r="C99" t="s">
        <v>415</v>
      </c>
      <c r="D99" t="s">
        <v>55</v>
      </c>
      <c r="E99" t="s">
        <v>40</v>
      </c>
      <c r="F99" s="3">
        <v>42790</v>
      </c>
      <c r="G99" s="3">
        <v>42970</v>
      </c>
      <c r="H99" t="s">
        <v>416</v>
      </c>
      <c r="I99" t="s">
        <v>33</v>
      </c>
      <c r="J99" t="s">
        <v>417</v>
      </c>
      <c r="K99" t="s">
        <v>284</v>
      </c>
      <c r="L99" t="s">
        <v>418</v>
      </c>
      <c r="M99" t="s">
        <v>60</v>
      </c>
      <c r="N99" s="3">
        <v>42853</v>
      </c>
      <c r="O99" t="s">
        <v>407</v>
      </c>
      <c r="P99" t="s">
        <v>407</v>
      </c>
      <c r="Q99" s="3"/>
      <c r="R99" s="3"/>
      <c r="S99" s="3">
        <v>42797</v>
      </c>
      <c r="U99" t="s">
        <v>214</v>
      </c>
      <c r="V99" s="3">
        <v>42804</v>
      </c>
      <c r="W99" s="3">
        <v>42857</v>
      </c>
      <c r="X99" s="3">
        <v>42936</v>
      </c>
      <c r="Y99" s="3">
        <v>42950</v>
      </c>
      <c r="Z99" s="3">
        <v>42965</v>
      </c>
      <c r="AA99" s="3"/>
      <c r="AB99" s="3">
        <v>42986</v>
      </c>
      <c r="AC99" t="s">
        <v>419</v>
      </c>
    </row>
    <row r="100" spans="1:29" x14ac:dyDescent="0.3">
      <c r="A100" s="2" t="str">
        <f>HYPERLINK("https://www.cadth.ca/node/97237", "Blincyto (Resubmission)")</f>
        <v>Blincyto (Resubmission)</v>
      </c>
      <c r="B100" t="s">
        <v>397</v>
      </c>
      <c r="C100" t="s">
        <v>383</v>
      </c>
      <c r="D100" t="s">
        <v>55</v>
      </c>
      <c r="E100" t="s">
        <v>40</v>
      </c>
      <c r="F100" s="3">
        <v>42790</v>
      </c>
      <c r="G100" s="3">
        <v>42978</v>
      </c>
      <c r="H100" t="s">
        <v>420</v>
      </c>
      <c r="I100" t="s">
        <v>33</v>
      </c>
      <c r="J100" t="s">
        <v>417</v>
      </c>
      <c r="K100" t="s">
        <v>284</v>
      </c>
      <c r="L100" t="s">
        <v>421</v>
      </c>
      <c r="N100" s="3">
        <v>42360</v>
      </c>
      <c r="O100" t="s">
        <v>407</v>
      </c>
      <c r="P100" t="s">
        <v>407</v>
      </c>
      <c r="Q100" s="3"/>
      <c r="R100" s="3"/>
      <c r="S100" s="3">
        <v>42804</v>
      </c>
      <c r="U100" t="s">
        <v>214</v>
      </c>
      <c r="V100" s="3">
        <v>42804</v>
      </c>
      <c r="W100" s="3">
        <v>42844</v>
      </c>
      <c r="X100" s="3">
        <v>42901</v>
      </c>
      <c r="Y100" s="3">
        <v>42915</v>
      </c>
      <c r="Z100" s="3">
        <v>42930</v>
      </c>
      <c r="AA100" s="3"/>
      <c r="AB100" s="3">
        <v>42996</v>
      </c>
    </row>
    <row r="101" spans="1:29" x14ac:dyDescent="0.3">
      <c r="A101" s="2" t="str">
        <f>HYPERLINK("https://www.cadth.ca/node/79650", "Bosulif")</f>
        <v>Bosulif</v>
      </c>
      <c r="B101" t="s">
        <v>422</v>
      </c>
      <c r="C101" t="s">
        <v>423</v>
      </c>
      <c r="D101" t="s">
        <v>55</v>
      </c>
      <c r="E101" t="s">
        <v>40</v>
      </c>
      <c r="F101" s="3">
        <v>41789</v>
      </c>
      <c r="G101" s="3">
        <v>42115</v>
      </c>
      <c r="H101" t="s">
        <v>424</v>
      </c>
      <c r="I101" t="s">
        <v>33</v>
      </c>
      <c r="J101" t="s">
        <v>425</v>
      </c>
      <c r="K101" t="s">
        <v>284</v>
      </c>
      <c r="L101" t="s">
        <v>426</v>
      </c>
      <c r="N101" s="3">
        <v>41705</v>
      </c>
      <c r="O101" t="s">
        <v>387</v>
      </c>
      <c r="P101" t="s">
        <v>387</v>
      </c>
      <c r="Q101" s="3"/>
      <c r="R101" s="3"/>
      <c r="S101" s="3">
        <v>41820</v>
      </c>
      <c r="U101" t="s">
        <v>427</v>
      </c>
      <c r="V101" s="3">
        <v>41803</v>
      </c>
      <c r="W101" s="3">
        <v>41864</v>
      </c>
      <c r="X101" s="3">
        <v>42082</v>
      </c>
      <c r="Y101" s="3">
        <v>42096</v>
      </c>
      <c r="Z101" s="3">
        <v>42111</v>
      </c>
      <c r="AA101" s="3"/>
      <c r="AB101" s="3">
        <v>42130</v>
      </c>
      <c r="AC101" t="s">
        <v>428</v>
      </c>
    </row>
    <row r="102" spans="1:29" x14ac:dyDescent="0.3">
      <c r="A102" s="2" t="str">
        <f>HYPERLINK("https://www.cadth.ca/node/114601", "Bosulif (RFA)")</f>
        <v>Bosulif (RFA)</v>
      </c>
      <c r="B102" t="s">
        <v>422</v>
      </c>
      <c r="C102" t="s">
        <v>423</v>
      </c>
      <c r="E102" t="s">
        <v>40</v>
      </c>
      <c r="F102" s="3">
        <v>43563</v>
      </c>
      <c r="G102" s="3"/>
      <c r="H102" t="s">
        <v>429</v>
      </c>
      <c r="I102" t="s">
        <v>33</v>
      </c>
      <c r="K102" t="s">
        <v>284</v>
      </c>
      <c r="N102" s="3"/>
      <c r="O102" t="s">
        <v>387</v>
      </c>
      <c r="P102" t="s">
        <v>430</v>
      </c>
      <c r="Q102" s="3"/>
      <c r="R102" s="3"/>
      <c r="S102" s="3"/>
      <c r="V102" s="3">
        <v>43578</v>
      </c>
      <c r="W102" s="3"/>
      <c r="X102" s="3">
        <v>43664</v>
      </c>
      <c r="Y102" s="3"/>
      <c r="Z102" s="3"/>
      <c r="AA102" s="3"/>
      <c r="AB102" s="3">
        <v>43679</v>
      </c>
    </row>
    <row r="103" spans="1:29" x14ac:dyDescent="0.3">
      <c r="A103" s="2" t="str">
        <f>HYPERLINK("https://www.cadth.ca/onabotulinumtoxina-1", "Botox")</f>
        <v>Botox</v>
      </c>
      <c r="B103" t="s">
        <v>431</v>
      </c>
      <c r="C103" t="s">
        <v>432</v>
      </c>
      <c r="D103" t="s">
        <v>50</v>
      </c>
      <c r="E103" t="s">
        <v>40</v>
      </c>
      <c r="F103" s="3">
        <v>41603</v>
      </c>
      <c r="G103" s="3">
        <v>41955</v>
      </c>
      <c r="H103" t="s">
        <v>433</v>
      </c>
      <c r="I103" t="s">
        <v>33</v>
      </c>
      <c r="N103" s="3"/>
      <c r="O103" t="s">
        <v>434</v>
      </c>
      <c r="Q103" s="3"/>
      <c r="R103" s="3"/>
      <c r="S103" s="3"/>
      <c r="T103" t="s">
        <v>36</v>
      </c>
      <c r="V103" s="3"/>
      <c r="W103" s="3"/>
      <c r="X103" s="3"/>
      <c r="Y103" s="3"/>
      <c r="Z103" s="3"/>
      <c r="AA103" s="3"/>
      <c r="AB103" s="3"/>
    </row>
    <row r="104" spans="1:29" x14ac:dyDescent="0.3">
      <c r="A104" s="2" t="str">
        <f>HYPERLINK("https://www.cadth.ca/onabotulinumtoxina-2", "Botox")</f>
        <v>Botox</v>
      </c>
      <c r="B104" t="s">
        <v>435</v>
      </c>
      <c r="C104" t="s">
        <v>436</v>
      </c>
      <c r="D104" t="s">
        <v>55</v>
      </c>
      <c r="E104" t="s">
        <v>40</v>
      </c>
      <c r="F104" s="3">
        <v>43406</v>
      </c>
      <c r="G104" s="3">
        <v>43755</v>
      </c>
      <c r="H104" t="s">
        <v>437</v>
      </c>
      <c r="I104" t="s">
        <v>33</v>
      </c>
      <c r="N104" s="3"/>
      <c r="O104" t="s">
        <v>438</v>
      </c>
      <c r="Q104" s="3"/>
      <c r="R104" s="3"/>
      <c r="S104" s="3"/>
      <c r="T104" t="s">
        <v>142</v>
      </c>
      <c r="V104" s="3"/>
      <c r="W104" s="3"/>
      <c r="X104" s="3"/>
      <c r="Y104" s="3"/>
      <c r="Z104" s="3"/>
      <c r="AA104" s="3"/>
      <c r="AB104" s="3"/>
    </row>
    <row r="105" spans="1:29" x14ac:dyDescent="0.3">
      <c r="A105" s="2" t="str">
        <f>HYPERLINK("https://www.cadth.ca/onabotulinumtoxina-0", "Botox")</f>
        <v>Botox</v>
      </c>
      <c r="B105" t="s">
        <v>431</v>
      </c>
      <c r="C105" t="s">
        <v>187</v>
      </c>
      <c r="D105" t="s">
        <v>39</v>
      </c>
      <c r="E105" t="s">
        <v>40</v>
      </c>
      <c r="F105" s="3">
        <v>41501</v>
      </c>
      <c r="G105" s="3">
        <v>41787</v>
      </c>
      <c r="H105" t="s">
        <v>439</v>
      </c>
      <c r="I105" t="s">
        <v>33</v>
      </c>
      <c r="N105" s="3"/>
      <c r="O105" t="s">
        <v>434</v>
      </c>
      <c r="Q105" s="3"/>
      <c r="R105" s="3"/>
      <c r="S105" s="3"/>
      <c r="T105" t="s">
        <v>36</v>
      </c>
      <c r="V105" s="3"/>
      <c r="W105" s="3"/>
      <c r="X105" s="3"/>
      <c r="Y105" s="3"/>
      <c r="Z105" s="3"/>
      <c r="AA105" s="3"/>
      <c r="AB105" s="3"/>
    </row>
    <row r="106" spans="1:29" x14ac:dyDescent="0.3">
      <c r="A106" s="2" t="str">
        <f>HYPERLINK("https://www.cadth.ca/onabotulinumtoxina", "Botox")</f>
        <v>Botox</v>
      </c>
      <c r="B106" t="s">
        <v>431</v>
      </c>
      <c r="C106" t="s">
        <v>440</v>
      </c>
      <c r="D106" t="s">
        <v>46</v>
      </c>
      <c r="E106" t="s">
        <v>40</v>
      </c>
      <c r="F106" s="3">
        <v>40939</v>
      </c>
      <c r="G106" s="3">
        <v>41109</v>
      </c>
      <c r="H106" t="s">
        <v>441</v>
      </c>
      <c r="I106" t="s">
        <v>33</v>
      </c>
      <c r="N106" s="3"/>
      <c r="O106" t="s">
        <v>434</v>
      </c>
      <c r="Q106" s="3"/>
      <c r="R106" s="3"/>
      <c r="S106" s="3"/>
      <c r="T106" t="s">
        <v>36</v>
      </c>
      <c r="V106" s="3"/>
      <c r="W106" s="3"/>
      <c r="X106" s="3"/>
      <c r="Y106" s="3"/>
      <c r="Z106" s="3"/>
      <c r="AA106" s="3"/>
      <c r="AB106" s="3"/>
    </row>
    <row r="107" spans="1:29" x14ac:dyDescent="0.3">
      <c r="A107" s="2" t="str">
        <f>HYPERLINK("https://www.cadth.ca/encorafenib", "Braftovi")</f>
        <v>Braftovi</v>
      </c>
      <c r="B107" t="s">
        <v>442</v>
      </c>
      <c r="C107" t="s">
        <v>443</v>
      </c>
      <c r="D107" t="s">
        <v>55</v>
      </c>
      <c r="E107" t="s">
        <v>40</v>
      </c>
      <c r="F107" s="3">
        <v>44181</v>
      </c>
      <c r="G107" s="3">
        <v>44403</v>
      </c>
      <c r="H107" t="s">
        <v>444</v>
      </c>
      <c r="I107" t="s">
        <v>33</v>
      </c>
      <c r="K107" t="s">
        <v>58</v>
      </c>
      <c r="N107" s="3"/>
      <c r="O107" t="s">
        <v>445</v>
      </c>
      <c r="Q107" s="3"/>
      <c r="R107" s="3"/>
      <c r="S107" s="3"/>
      <c r="T107" t="s">
        <v>36</v>
      </c>
      <c r="V107" s="3"/>
      <c r="W107" s="3"/>
      <c r="X107" s="3"/>
      <c r="Y107" s="3"/>
      <c r="Z107" s="3"/>
      <c r="AA107" s="3"/>
      <c r="AB107" s="3"/>
    </row>
    <row r="108" spans="1:29" x14ac:dyDescent="0.3">
      <c r="A108" s="2" t="str">
        <f>HYPERLINK("https://www.cadth.ca/encorafenib-and-binimetinib", "Braftovi and Mektovi")</f>
        <v>Braftovi and Mektovi</v>
      </c>
      <c r="B108" t="s">
        <v>446</v>
      </c>
      <c r="C108" t="s">
        <v>447</v>
      </c>
      <c r="D108" t="s">
        <v>55</v>
      </c>
      <c r="E108" t="s">
        <v>40</v>
      </c>
      <c r="F108" s="3">
        <v>44181</v>
      </c>
      <c r="G108" s="3">
        <v>44403</v>
      </c>
      <c r="H108" t="s">
        <v>448</v>
      </c>
      <c r="I108" t="s">
        <v>33</v>
      </c>
      <c r="K108" t="s">
        <v>362</v>
      </c>
      <c r="N108" s="3"/>
      <c r="O108" t="s">
        <v>445</v>
      </c>
      <c r="Q108" s="3"/>
      <c r="R108" s="3"/>
      <c r="S108" s="3"/>
      <c r="T108" t="s">
        <v>36</v>
      </c>
      <c r="V108" s="3"/>
      <c r="W108" s="3"/>
      <c r="X108" s="3"/>
      <c r="Y108" s="3"/>
      <c r="Z108" s="3"/>
      <c r="AA108" s="3"/>
      <c r="AB108" s="3"/>
    </row>
    <row r="109" spans="1:29" x14ac:dyDescent="0.3">
      <c r="A109" s="2" t="str">
        <f>HYPERLINK("https://www.cadth.ca/etanercept", "Brenzys")</f>
        <v>Brenzys</v>
      </c>
      <c r="B109" t="s">
        <v>449</v>
      </c>
      <c r="C109" t="s">
        <v>450</v>
      </c>
      <c r="D109" t="s">
        <v>55</v>
      </c>
      <c r="E109" t="s">
        <v>40</v>
      </c>
      <c r="F109" s="3">
        <v>42480</v>
      </c>
      <c r="G109" s="3">
        <v>42668</v>
      </c>
      <c r="H109" t="s">
        <v>451</v>
      </c>
      <c r="I109" t="s">
        <v>33</v>
      </c>
      <c r="N109" s="3"/>
      <c r="O109" t="s">
        <v>289</v>
      </c>
      <c r="Q109" s="3"/>
      <c r="R109" s="3"/>
      <c r="S109" s="3"/>
      <c r="T109" t="s">
        <v>36</v>
      </c>
      <c r="V109" s="3"/>
      <c r="W109" s="3"/>
      <c r="X109" s="3"/>
      <c r="Y109" s="3"/>
      <c r="Z109" s="3"/>
      <c r="AA109" s="3"/>
      <c r="AB109" s="3"/>
    </row>
    <row r="110" spans="1:29" x14ac:dyDescent="0.3">
      <c r="A110" s="2" t="str">
        <f>HYPERLINK("https://www.cadth.ca/fluticasone-furoate-vilanterol", "Breo Ellipta")</f>
        <v>Breo Ellipta</v>
      </c>
      <c r="B110" t="s">
        <v>452</v>
      </c>
      <c r="C110" t="s">
        <v>453</v>
      </c>
      <c r="D110" t="s">
        <v>50</v>
      </c>
      <c r="E110" t="s">
        <v>40</v>
      </c>
      <c r="F110" s="3">
        <v>41576</v>
      </c>
      <c r="G110" s="3">
        <v>41869</v>
      </c>
      <c r="H110" t="s">
        <v>454</v>
      </c>
      <c r="I110" t="s">
        <v>33</v>
      </c>
      <c r="N110" s="3"/>
      <c r="O110" t="s">
        <v>455</v>
      </c>
      <c r="Q110" s="3"/>
      <c r="R110" s="3"/>
      <c r="S110" s="3"/>
      <c r="T110" t="s">
        <v>36</v>
      </c>
      <c r="V110" s="3"/>
      <c r="W110" s="3"/>
      <c r="X110" s="3"/>
      <c r="Y110" s="3"/>
      <c r="Z110" s="3"/>
      <c r="AA110" s="3"/>
      <c r="AB110" s="3"/>
    </row>
    <row r="111" spans="1:29" x14ac:dyDescent="0.3">
      <c r="A111" s="2" t="str">
        <f>HYPERLINK("https://www.cadth.ca/fluticasone-furoatevilanterol-0", "Breo Ellipta")</f>
        <v>Breo Ellipta</v>
      </c>
      <c r="B111" t="s">
        <v>456</v>
      </c>
      <c r="C111" t="s">
        <v>164</v>
      </c>
      <c r="E111" t="s">
        <v>113</v>
      </c>
      <c r="F111" s="3">
        <v>43222</v>
      </c>
      <c r="G111" s="3"/>
      <c r="H111" t="s">
        <v>457</v>
      </c>
      <c r="I111" t="s">
        <v>33</v>
      </c>
      <c r="N111" s="3"/>
      <c r="O111" t="s">
        <v>259</v>
      </c>
      <c r="Q111" s="3"/>
      <c r="R111" s="3"/>
      <c r="S111" s="3"/>
      <c r="T111" t="s">
        <v>142</v>
      </c>
      <c r="V111" s="3"/>
      <c r="W111" s="3"/>
      <c r="X111" s="3"/>
      <c r="Y111" s="3"/>
      <c r="Z111" s="3"/>
      <c r="AA111" s="3"/>
      <c r="AB111" s="3"/>
    </row>
    <row r="112" spans="1:29" x14ac:dyDescent="0.3">
      <c r="A112" s="2" t="str">
        <f>HYPERLINK("https://www.cadth.ca/fluticasone-furoate-and-vilanterol-trifenatate", "Breo Ellipta")</f>
        <v>Breo Ellipta</v>
      </c>
      <c r="B112" t="s">
        <v>458</v>
      </c>
      <c r="C112" t="s">
        <v>164</v>
      </c>
      <c r="D112" t="s">
        <v>46</v>
      </c>
      <c r="E112" t="s">
        <v>40</v>
      </c>
      <c r="F112" s="3">
        <v>42226</v>
      </c>
      <c r="G112" s="3">
        <v>42418</v>
      </c>
      <c r="H112" t="s">
        <v>459</v>
      </c>
      <c r="I112" t="s">
        <v>33</v>
      </c>
      <c r="N112" s="3"/>
      <c r="O112" t="s">
        <v>259</v>
      </c>
      <c r="Q112" s="3"/>
      <c r="R112" s="3"/>
      <c r="S112" s="3"/>
      <c r="T112" t="s">
        <v>36</v>
      </c>
      <c r="V112" s="3"/>
      <c r="W112" s="3"/>
      <c r="X112" s="3"/>
      <c r="Y112" s="3"/>
      <c r="Z112" s="3"/>
      <c r="AA112" s="3"/>
      <c r="AB112" s="3"/>
    </row>
    <row r="113" spans="1:28" x14ac:dyDescent="0.3">
      <c r="A113" s="2" t="str">
        <f>HYPERLINK("https://www.cadth.ca/fluticasone-furoatevilanterol", "Breo Ellipta")</f>
        <v>Breo Ellipta</v>
      </c>
      <c r="B113" t="s">
        <v>456</v>
      </c>
      <c r="C113" t="s">
        <v>460</v>
      </c>
      <c r="E113" t="s">
        <v>113</v>
      </c>
      <c r="F113" s="3">
        <v>42914</v>
      </c>
      <c r="G113" s="3"/>
      <c r="H113" t="s">
        <v>461</v>
      </c>
      <c r="I113" t="s">
        <v>33</v>
      </c>
      <c r="N113" s="3"/>
      <c r="O113" t="s">
        <v>259</v>
      </c>
      <c r="Q113" s="3"/>
      <c r="R113" s="3"/>
      <c r="S113" s="3"/>
      <c r="T113" t="s">
        <v>142</v>
      </c>
      <c r="V113" s="3"/>
      <c r="W113" s="3"/>
      <c r="X113" s="3"/>
      <c r="Y113" s="3"/>
      <c r="Z113" s="3"/>
      <c r="AA113" s="3"/>
      <c r="AB113" s="3"/>
    </row>
    <row r="114" spans="1:28" x14ac:dyDescent="0.3">
      <c r="A114" s="2" t="str">
        <f>HYPERLINK("https://www.cadth.ca/budesonide-glycopyrronium-formoterol-fumarate", "Breztri Aerosphere")</f>
        <v>Breztri Aerosphere</v>
      </c>
      <c r="B114" t="s">
        <v>462</v>
      </c>
      <c r="C114" t="s">
        <v>463</v>
      </c>
      <c r="D114" t="s">
        <v>55</v>
      </c>
      <c r="E114" t="s">
        <v>31</v>
      </c>
      <c r="F114" s="3">
        <v>44224</v>
      </c>
      <c r="G114" s="3">
        <v>44453</v>
      </c>
      <c r="H114" t="s">
        <v>464</v>
      </c>
      <c r="I114" t="s">
        <v>33</v>
      </c>
      <c r="N114" s="3"/>
      <c r="O114" t="s">
        <v>465</v>
      </c>
      <c r="Q114" s="3"/>
      <c r="R114" s="3"/>
      <c r="S114" s="3"/>
      <c r="T114" t="s">
        <v>36</v>
      </c>
      <c r="V114" s="3"/>
      <c r="W114" s="3"/>
      <c r="X114" s="3"/>
      <c r="Y114" s="3"/>
      <c r="Z114" s="3"/>
      <c r="AA114" s="3"/>
      <c r="AB114" s="3"/>
    </row>
    <row r="115" spans="1:28" x14ac:dyDescent="0.3">
      <c r="A115" s="2" t="str">
        <f>HYPERLINK("https://www.cadth.ca/ticagrelor", "Brilinta")</f>
        <v>Brilinta</v>
      </c>
      <c r="B115" t="s">
        <v>466</v>
      </c>
      <c r="C115" t="s">
        <v>467</v>
      </c>
      <c r="E115" t="s">
        <v>154</v>
      </c>
      <c r="F115" s="3">
        <v>40337</v>
      </c>
      <c r="G115" s="3"/>
      <c r="H115" t="s">
        <v>468</v>
      </c>
      <c r="I115" t="s">
        <v>33</v>
      </c>
      <c r="N115" s="3"/>
      <c r="O115" t="s">
        <v>469</v>
      </c>
      <c r="Q115" s="3"/>
      <c r="R115" s="3"/>
      <c r="S115" s="3"/>
      <c r="T115" t="s">
        <v>36</v>
      </c>
      <c r="V115" s="3"/>
      <c r="W115" s="3"/>
      <c r="X115" s="3"/>
      <c r="Y115" s="3"/>
      <c r="Z115" s="3"/>
      <c r="AA115" s="3"/>
      <c r="AB115" s="3"/>
    </row>
    <row r="116" spans="1:28" x14ac:dyDescent="0.3">
      <c r="A116" s="2" t="str">
        <f>HYPERLINK("https://www.cadth.ca/ticagrelor-0", "Brilinta")</f>
        <v>Brilinta</v>
      </c>
      <c r="B116" t="s">
        <v>466</v>
      </c>
      <c r="C116" t="s">
        <v>470</v>
      </c>
      <c r="D116" t="s">
        <v>39</v>
      </c>
      <c r="E116" t="s">
        <v>40</v>
      </c>
      <c r="F116" s="3">
        <v>40695</v>
      </c>
      <c r="G116" s="3">
        <v>40893</v>
      </c>
      <c r="H116" t="s">
        <v>471</v>
      </c>
      <c r="I116" t="s">
        <v>33</v>
      </c>
      <c r="N116" s="3"/>
      <c r="O116" t="s">
        <v>469</v>
      </c>
      <c r="Q116" s="3"/>
      <c r="R116" s="3"/>
      <c r="S116" s="3"/>
      <c r="T116" t="s">
        <v>36</v>
      </c>
      <c r="V116" s="3"/>
      <c r="W116" s="3"/>
      <c r="X116" s="3"/>
      <c r="Y116" s="3"/>
      <c r="Z116" s="3"/>
      <c r="AA116" s="3"/>
      <c r="AB116" s="3"/>
    </row>
    <row r="117" spans="1:28" x14ac:dyDescent="0.3">
      <c r="A117" s="2" t="str">
        <f>HYPERLINK("https://www.cadth.ca/ticagrelor-1", "Brilinta")</f>
        <v>Brilinta</v>
      </c>
      <c r="B117" t="s">
        <v>472</v>
      </c>
      <c r="C117" t="s">
        <v>473</v>
      </c>
      <c r="D117" t="s">
        <v>55</v>
      </c>
      <c r="E117" t="s">
        <v>40</v>
      </c>
      <c r="F117" s="3">
        <v>42418</v>
      </c>
      <c r="G117" s="3">
        <v>42607</v>
      </c>
      <c r="H117" t="s">
        <v>474</v>
      </c>
      <c r="I117" t="s">
        <v>33</v>
      </c>
      <c r="N117" s="3"/>
      <c r="O117" t="s">
        <v>469</v>
      </c>
      <c r="Q117" s="3"/>
      <c r="R117" s="3"/>
      <c r="S117" s="3"/>
      <c r="T117" t="s">
        <v>36</v>
      </c>
      <c r="V117" s="3"/>
      <c r="W117" s="3"/>
      <c r="X117" s="3"/>
      <c r="Y117" s="3"/>
      <c r="Z117" s="3"/>
      <c r="AA117" s="3"/>
      <c r="AB117" s="3"/>
    </row>
    <row r="118" spans="1:28" x14ac:dyDescent="0.3">
      <c r="A118" s="2" t="str">
        <f>HYPERLINK("https://www.cadth.ca/cerliponase-alfa", "Brineura")</f>
        <v>Brineura</v>
      </c>
      <c r="B118" t="s">
        <v>475</v>
      </c>
      <c r="C118" t="s">
        <v>476</v>
      </c>
      <c r="D118" t="s">
        <v>55</v>
      </c>
      <c r="E118" t="s">
        <v>40</v>
      </c>
      <c r="F118" s="3">
        <v>43312</v>
      </c>
      <c r="G118" s="3">
        <v>43608</v>
      </c>
      <c r="H118" t="s">
        <v>477</v>
      </c>
      <c r="I118" t="s">
        <v>33</v>
      </c>
      <c r="N118" s="3"/>
      <c r="O118" t="s">
        <v>478</v>
      </c>
      <c r="Q118" s="3"/>
      <c r="R118" s="3"/>
      <c r="S118" s="3"/>
      <c r="T118" t="s">
        <v>36</v>
      </c>
      <c r="V118" s="3"/>
      <c r="W118" s="3"/>
      <c r="X118" s="3"/>
      <c r="Y118" s="3"/>
      <c r="Z118" s="3"/>
      <c r="AA118" s="3"/>
      <c r="AB118" s="3"/>
    </row>
    <row r="119" spans="1:28" x14ac:dyDescent="0.3">
      <c r="A119" s="2" t="str">
        <f>HYPERLINK("https://www.cadth.ca/brivaracetam", "Brivlera")</f>
        <v>Brivlera</v>
      </c>
      <c r="B119" t="s">
        <v>479</v>
      </c>
      <c r="C119" t="s">
        <v>269</v>
      </c>
      <c r="D119" t="s">
        <v>55</v>
      </c>
      <c r="E119" t="s">
        <v>40</v>
      </c>
      <c r="F119" s="3">
        <v>42479</v>
      </c>
      <c r="G119" s="3">
        <v>42760</v>
      </c>
      <c r="H119" t="s">
        <v>480</v>
      </c>
      <c r="I119" t="s">
        <v>33</v>
      </c>
      <c r="N119" s="3"/>
      <c r="O119" t="s">
        <v>481</v>
      </c>
      <c r="Q119" s="3"/>
      <c r="R119" s="3"/>
      <c r="S119" s="3"/>
      <c r="T119" t="s">
        <v>36</v>
      </c>
      <c r="V119" s="3"/>
      <c r="W119" s="3"/>
      <c r="X119" s="3"/>
      <c r="Y119" s="3"/>
      <c r="Z119" s="3"/>
      <c r="AA119" s="3"/>
      <c r="AB119" s="3"/>
    </row>
    <row r="120" spans="1:28" x14ac:dyDescent="0.3">
      <c r="A120" s="2" t="str">
        <f>HYPERLINK("https://www.cadth.ca/zanubrutinib-0", "Brukinsa")</f>
        <v>Brukinsa</v>
      </c>
      <c r="B120" t="s">
        <v>482</v>
      </c>
      <c r="C120" t="s">
        <v>483</v>
      </c>
      <c r="E120" t="s">
        <v>484</v>
      </c>
      <c r="F120" s="3">
        <v>44469</v>
      </c>
      <c r="G120" s="3"/>
      <c r="H120" t="s">
        <v>485</v>
      </c>
      <c r="I120" t="s">
        <v>33</v>
      </c>
      <c r="K120" t="s">
        <v>96</v>
      </c>
      <c r="N120" s="3"/>
      <c r="O120" t="s">
        <v>486</v>
      </c>
      <c r="Q120" s="3"/>
      <c r="R120" s="3"/>
      <c r="S120" s="3"/>
      <c r="T120" t="s">
        <v>36</v>
      </c>
      <c r="V120" s="3"/>
      <c r="W120" s="3"/>
      <c r="X120" s="3"/>
      <c r="Y120" s="3"/>
      <c r="Z120" s="3"/>
      <c r="AA120" s="3"/>
      <c r="AB120" s="3"/>
    </row>
    <row r="121" spans="1:28" x14ac:dyDescent="0.3">
      <c r="A121" s="2" t="str">
        <f>HYPERLINK("https://www.cadth.ca/zanubrutinib", "Brukinsa")</f>
        <v>Brukinsa</v>
      </c>
      <c r="B121" t="s">
        <v>482</v>
      </c>
      <c r="C121" t="s">
        <v>487</v>
      </c>
      <c r="E121" t="s">
        <v>31</v>
      </c>
      <c r="F121" s="3">
        <v>44337</v>
      </c>
      <c r="G121" s="3"/>
      <c r="H121" t="s">
        <v>488</v>
      </c>
      <c r="I121" t="s">
        <v>33</v>
      </c>
      <c r="K121" t="s">
        <v>96</v>
      </c>
      <c r="N121" s="3"/>
      <c r="O121" t="s">
        <v>489</v>
      </c>
      <c r="Q121" s="3"/>
      <c r="R121" s="3"/>
      <c r="S121" s="3"/>
      <c r="T121" t="s">
        <v>36</v>
      </c>
      <c r="V121" s="3"/>
      <c r="W121" s="3"/>
      <c r="X121" s="3"/>
      <c r="Y121" s="3"/>
      <c r="Z121" s="3"/>
      <c r="AA121" s="3"/>
      <c r="AB121" s="3"/>
    </row>
    <row r="122" spans="1:28" x14ac:dyDescent="0.3">
      <c r="A122" s="2" t="str">
        <f>HYPERLINK("https://www.cadth.ca/buprenorphine-transdermal-patch-0", "BuTrans")</f>
        <v>BuTrans</v>
      </c>
      <c r="B122" t="s">
        <v>490</v>
      </c>
      <c r="C122" t="s">
        <v>491</v>
      </c>
      <c r="D122" t="s">
        <v>39</v>
      </c>
      <c r="E122" t="s">
        <v>40</v>
      </c>
      <c r="F122" s="3">
        <v>40672</v>
      </c>
      <c r="G122" s="3">
        <v>40814</v>
      </c>
      <c r="H122" t="s">
        <v>492</v>
      </c>
      <c r="I122" t="s">
        <v>33</v>
      </c>
      <c r="N122" s="3"/>
      <c r="O122" t="s">
        <v>196</v>
      </c>
      <c r="Q122" s="3"/>
      <c r="R122" s="3"/>
      <c r="S122" s="3"/>
      <c r="T122" t="s">
        <v>142</v>
      </c>
      <c r="V122" s="3"/>
      <c r="W122" s="3"/>
      <c r="X122" s="3"/>
      <c r="Y122" s="3"/>
      <c r="Z122" s="3"/>
      <c r="AA122" s="3"/>
      <c r="AB122" s="3"/>
    </row>
    <row r="123" spans="1:28" x14ac:dyDescent="0.3">
      <c r="A123" s="2" t="str">
        <f>HYPERLINK("https://www.cadth.ca/buprenorphine-transdermal-patch", "BuTrans")</f>
        <v>BuTrans</v>
      </c>
      <c r="B123" t="s">
        <v>490</v>
      </c>
      <c r="C123" t="s">
        <v>493</v>
      </c>
      <c r="E123" t="s">
        <v>154</v>
      </c>
      <c r="F123" s="3">
        <v>40466</v>
      </c>
      <c r="G123" s="3"/>
      <c r="H123" t="s">
        <v>494</v>
      </c>
      <c r="I123" t="s">
        <v>33</v>
      </c>
      <c r="N123" s="3"/>
      <c r="O123" t="s">
        <v>196</v>
      </c>
      <c r="Q123" s="3"/>
      <c r="R123" s="3"/>
      <c r="S123" s="3"/>
      <c r="T123" t="s">
        <v>36</v>
      </c>
      <c r="V123" s="3"/>
      <c r="W123" s="3"/>
      <c r="X123" s="3"/>
      <c r="Y123" s="3"/>
      <c r="Z123" s="3"/>
      <c r="AA123" s="3"/>
      <c r="AB123" s="3"/>
    </row>
    <row r="124" spans="1:28" x14ac:dyDescent="0.3">
      <c r="A124" s="2" t="str">
        <f>HYPERLINK("https://www.cadth.ca/exenatide", "Byetta")</f>
        <v>Byetta</v>
      </c>
      <c r="B124" t="s">
        <v>495</v>
      </c>
      <c r="C124" t="s">
        <v>496</v>
      </c>
      <c r="D124" t="s">
        <v>39</v>
      </c>
      <c r="E124" t="s">
        <v>40</v>
      </c>
      <c r="F124" s="3">
        <v>40778</v>
      </c>
      <c r="G124" s="3">
        <v>41109</v>
      </c>
      <c r="H124" t="s">
        <v>497</v>
      </c>
      <c r="I124" t="s">
        <v>33</v>
      </c>
      <c r="N124" s="3"/>
      <c r="O124" t="s">
        <v>220</v>
      </c>
      <c r="Q124" s="3"/>
      <c r="R124" s="3"/>
      <c r="S124" s="3"/>
      <c r="T124" t="s">
        <v>36</v>
      </c>
      <c r="V124" s="3"/>
      <c r="W124" s="3"/>
      <c r="X124" s="3"/>
      <c r="Y124" s="3"/>
      <c r="Z124" s="3"/>
      <c r="AA124" s="3"/>
      <c r="AB124" s="3"/>
    </row>
    <row r="125" spans="1:28" x14ac:dyDescent="0.3">
      <c r="A125" s="2" t="str">
        <f>HYPERLINK("https://www.cadth.ca/nebivolol", "Bystolic")</f>
        <v>Bystolic</v>
      </c>
      <c r="B125" t="s">
        <v>498</v>
      </c>
      <c r="C125" t="s">
        <v>231</v>
      </c>
      <c r="D125" t="s">
        <v>228</v>
      </c>
      <c r="E125" t="s">
        <v>40</v>
      </c>
      <c r="F125" s="3">
        <v>41309</v>
      </c>
      <c r="G125" s="3">
        <v>41473</v>
      </c>
      <c r="H125" t="s">
        <v>499</v>
      </c>
      <c r="I125" t="s">
        <v>33</v>
      </c>
      <c r="N125" s="3"/>
      <c r="O125" t="s">
        <v>500</v>
      </c>
      <c r="Q125" s="3"/>
      <c r="R125" s="3"/>
      <c r="S125" s="3"/>
      <c r="T125" t="s">
        <v>36</v>
      </c>
      <c r="V125" s="3"/>
      <c r="W125" s="3"/>
      <c r="X125" s="3"/>
      <c r="Y125" s="3"/>
      <c r="Z125" s="3"/>
      <c r="AA125" s="3"/>
      <c r="AB125" s="3"/>
    </row>
    <row r="126" spans="1:28" x14ac:dyDescent="0.3">
      <c r="A126" s="2" t="str">
        <f>HYPERLINK("https://www.cadth.ca/caplacizumab", "Cablivi")</f>
        <v>Cablivi</v>
      </c>
      <c r="B126" t="s">
        <v>501</v>
      </c>
      <c r="C126" t="s">
        <v>502</v>
      </c>
      <c r="D126" t="s">
        <v>127</v>
      </c>
      <c r="E126" t="s">
        <v>40</v>
      </c>
      <c r="F126" s="3">
        <v>43721</v>
      </c>
      <c r="G126" s="3">
        <v>44069</v>
      </c>
      <c r="H126" t="s">
        <v>503</v>
      </c>
      <c r="I126" t="s">
        <v>33</v>
      </c>
      <c r="N126" s="3"/>
      <c r="O126" t="s">
        <v>504</v>
      </c>
      <c r="Q126" s="3"/>
      <c r="R126" s="3"/>
      <c r="S126" s="3"/>
      <c r="T126" t="s">
        <v>36</v>
      </c>
      <c r="V126" s="3"/>
      <c r="W126" s="3"/>
      <c r="X126" s="3"/>
      <c r="Y126" s="3"/>
      <c r="Z126" s="3"/>
      <c r="AA126" s="3"/>
      <c r="AB126" s="3"/>
    </row>
    <row r="127" spans="1:28" x14ac:dyDescent="0.3">
      <c r="A127" s="2" t="str">
        <f>HYPERLINK("https://www.cadth.ca/node/117636", "Cabometyx")</f>
        <v>Cabometyx</v>
      </c>
      <c r="B127" t="s">
        <v>505</v>
      </c>
      <c r="C127" t="s">
        <v>506</v>
      </c>
      <c r="D127" t="s">
        <v>55</v>
      </c>
      <c r="E127" t="s">
        <v>40</v>
      </c>
      <c r="F127" s="3">
        <v>43754</v>
      </c>
      <c r="G127" s="3">
        <v>43943</v>
      </c>
      <c r="H127" t="s">
        <v>507</v>
      </c>
      <c r="I127" t="s">
        <v>33</v>
      </c>
      <c r="J127" t="s">
        <v>508</v>
      </c>
      <c r="K127" t="s">
        <v>58</v>
      </c>
      <c r="L127" t="s">
        <v>509</v>
      </c>
      <c r="M127" t="s">
        <v>60</v>
      </c>
      <c r="N127" s="3">
        <v>43777</v>
      </c>
      <c r="O127" t="s">
        <v>510</v>
      </c>
      <c r="P127" t="s">
        <v>510</v>
      </c>
      <c r="Q127" s="3"/>
      <c r="R127" s="3"/>
      <c r="S127" s="3">
        <v>43768</v>
      </c>
      <c r="V127" s="3">
        <v>43768</v>
      </c>
      <c r="W127" s="3">
        <v>43838</v>
      </c>
      <c r="X127" s="3">
        <v>43909</v>
      </c>
      <c r="Y127" s="3">
        <v>43923</v>
      </c>
      <c r="Z127" s="3">
        <v>43938</v>
      </c>
      <c r="AA127" s="3"/>
      <c r="AB127" s="3">
        <v>43958</v>
      </c>
    </row>
    <row r="128" spans="1:28" x14ac:dyDescent="0.3">
      <c r="A128" s="2" t="str">
        <f>HYPERLINK("https://www.cadth.ca/node/110507", "Cabometyx")</f>
        <v>Cabometyx</v>
      </c>
      <c r="B128" t="s">
        <v>505</v>
      </c>
      <c r="C128" t="s">
        <v>511</v>
      </c>
      <c r="D128" t="s">
        <v>55</v>
      </c>
      <c r="E128" t="s">
        <v>40</v>
      </c>
      <c r="F128" s="3">
        <v>43360</v>
      </c>
      <c r="G128" s="3">
        <v>43516</v>
      </c>
      <c r="H128" t="s">
        <v>512</v>
      </c>
      <c r="I128" t="s">
        <v>33</v>
      </c>
      <c r="J128" t="s">
        <v>508</v>
      </c>
      <c r="K128" t="s">
        <v>367</v>
      </c>
      <c r="L128" t="s">
        <v>513</v>
      </c>
      <c r="N128" s="3">
        <v>43357</v>
      </c>
      <c r="O128" t="s">
        <v>510</v>
      </c>
      <c r="P128" t="s">
        <v>510</v>
      </c>
      <c r="Q128" s="3"/>
      <c r="R128" s="3"/>
      <c r="S128" s="3">
        <v>43375</v>
      </c>
      <c r="V128" s="3">
        <v>43375</v>
      </c>
      <c r="W128" s="3">
        <v>43410</v>
      </c>
      <c r="X128" s="3">
        <v>43482</v>
      </c>
      <c r="Y128" s="3">
        <v>43496</v>
      </c>
      <c r="Z128" s="3">
        <v>43510</v>
      </c>
      <c r="AA128" s="3"/>
      <c r="AB128" s="3">
        <v>43531</v>
      </c>
    </row>
    <row r="129" spans="1:28" x14ac:dyDescent="0.3">
      <c r="A129" s="2" t="str">
        <f>HYPERLINK("https://www.cadth.ca/amlodipine-besylate-atorvastatin-calcium", "Caduet")</f>
        <v>Caduet</v>
      </c>
      <c r="B129" t="s">
        <v>514</v>
      </c>
      <c r="C129" t="s">
        <v>515</v>
      </c>
      <c r="D129" t="s">
        <v>46</v>
      </c>
      <c r="E129" t="s">
        <v>40</v>
      </c>
      <c r="F129" s="3">
        <v>38701</v>
      </c>
      <c r="G129" s="3">
        <v>38854</v>
      </c>
      <c r="H129" t="s">
        <v>516</v>
      </c>
      <c r="I129" t="s">
        <v>33</v>
      </c>
      <c r="N129" s="3"/>
      <c r="O129" t="s">
        <v>387</v>
      </c>
      <c r="Q129" s="3"/>
      <c r="R129" s="3"/>
      <c r="S129" s="3"/>
      <c r="T129" t="s">
        <v>36</v>
      </c>
      <c r="V129" s="3"/>
      <c r="W129" s="3"/>
      <c r="X129" s="3"/>
      <c r="Y129" s="3"/>
      <c r="Z129" s="3"/>
      <c r="AA129" s="3"/>
      <c r="AB129" s="3"/>
    </row>
    <row r="130" spans="1:28" x14ac:dyDescent="0.3">
      <c r="A130" s="2" t="str">
        <f>HYPERLINK("https://www.cadth.ca/node/119940", "Calquence")</f>
        <v>Calquence</v>
      </c>
      <c r="B130" t="s">
        <v>517</v>
      </c>
      <c r="C130" t="s">
        <v>518</v>
      </c>
      <c r="D130" t="s">
        <v>55</v>
      </c>
      <c r="E130" t="s">
        <v>40</v>
      </c>
      <c r="F130" s="3">
        <v>43928</v>
      </c>
      <c r="G130" s="3">
        <v>44204</v>
      </c>
      <c r="H130" t="s">
        <v>519</v>
      </c>
      <c r="I130" t="s">
        <v>33</v>
      </c>
      <c r="J130" t="s">
        <v>520</v>
      </c>
      <c r="K130" t="s">
        <v>284</v>
      </c>
      <c r="L130" t="s">
        <v>521</v>
      </c>
      <c r="N130" s="3">
        <v>43797</v>
      </c>
      <c r="O130" t="s">
        <v>465</v>
      </c>
      <c r="P130" t="s">
        <v>465</v>
      </c>
      <c r="Q130" s="3"/>
      <c r="R130" s="3"/>
      <c r="S130" s="3">
        <v>43976</v>
      </c>
      <c r="V130" s="3">
        <v>43943</v>
      </c>
      <c r="W130" s="3">
        <v>44032</v>
      </c>
      <c r="X130" s="3">
        <v>44119</v>
      </c>
      <c r="Y130" s="3">
        <v>44133</v>
      </c>
      <c r="Z130" s="3">
        <v>44147</v>
      </c>
      <c r="AA130" s="3"/>
      <c r="AB130" s="3">
        <v>44221</v>
      </c>
    </row>
    <row r="131" spans="1:28" x14ac:dyDescent="0.3">
      <c r="A131" s="2" t="str">
        <f>HYPERLINK("https://www.cadth.ca/node/119942", "Calquence")</f>
        <v>Calquence</v>
      </c>
      <c r="B131" t="s">
        <v>517</v>
      </c>
      <c r="C131" t="s">
        <v>522</v>
      </c>
      <c r="D131" t="s">
        <v>55</v>
      </c>
      <c r="E131" t="s">
        <v>40</v>
      </c>
      <c r="F131" s="3">
        <v>43928</v>
      </c>
      <c r="G131" s="3">
        <v>44152</v>
      </c>
      <c r="H131" t="s">
        <v>523</v>
      </c>
      <c r="I131" t="s">
        <v>33</v>
      </c>
      <c r="J131" t="s">
        <v>520</v>
      </c>
      <c r="K131" t="s">
        <v>284</v>
      </c>
      <c r="L131" t="s">
        <v>524</v>
      </c>
      <c r="N131" s="3">
        <v>43797</v>
      </c>
      <c r="O131" t="s">
        <v>465</v>
      </c>
      <c r="P131" t="s">
        <v>465</v>
      </c>
      <c r="Q131" s="3"/>
      <c r="R131" s="3"/>
      <c r="S131" s="3">
        <v>43964</v>
      </c>
      <c r="V131" s="3">
        <v>43943</v>
      </c>
      <c r="W131" s="3">
        <v>44032</v>
      </c>
      <c r="X131" s="3">
        <v>44119</v>
      </c>
      <c r="Y131" s="3">
        <v>44133</v>
      </c>
      <c r="Z131" s="3">
        <v>44147</v>
      </c>
      <c r="AA131" s="3"/>
      <c r="AB131" s="3">
        <v>44167</v>
      </c>
    </row>
    <row r="132" spans="1:28" x14ac:dyDescent="0.3">
      <c r="A132" s="2" t="str">
        <f>HYPERLINK("https://www.cadth.ca/acamprosate-calcium-0", "Campral")</f>
        <v>Campral</v>
      </c>
      <c r="B132" t="s">
        <v>525</v>
      </c>
      <c r="C132" t="s">
        <v>526</v>
      </c>
      <c r="E132" t="s">
        <v>40</v>
      </c>
      <c r="F132" s="3">
        <v>39651</v>
      </c>
      <c r="G132" s="3"/>
      <c r="H132" t="s">
        <v>527</v>
      </c>
      <c r="I132" t="s">
        <v>33</v>
      </c>
      <c r="N132" s="3"/>
      <c r="O132" t="s">
        <v>528</v>
      </c>
      <c r="Q132" s="3"/>
      <c r="R132" s="3"/>
      <c r="S132" s="3"/>
      <c r="T132" t="s">
        <v>49</v>
      </c>
      <c r="V132" s="3"/>
      <c r="W132" s="3"/>
      <c r="X132" s="3"/>
      <c r="Y132" s="3"/>
      <c r="Z132" s="3"/>
      <c r="AA132" s="3"/>
      <c r="AB132" s="3"/>
    </row>
    <row r="133" spans="1:28" x14ac:dyDescent="0.3">
      <c r="A133" s="2" t="str">
        <f>HYPERLINK("https://www.cadth.ca/acamprosate-calcium", "Campral")</f>
        <v>Campral</v>
      </c>
      <c r="B133" t="s">
        <v>525</v>
      </c>
      <c r="C133" t="s">
        <v>526</v>
      </c>
      <c r="D133" t="s">
        <v>46</v>
      </c>
      <c r="E133" t="s">
        <v>40</v>
      </c>
      <c r="F133" s="3">
        <v>39323</v>
      </c>
      <c r="G133" s="3">
        <v>39534</v>
      </c>
      <c r="H133" t="s">
        <v>529</v>
      </c>
      <c r="I133" t="s">
        <v>33</v>
      </c>
      <c r="N133" s="3"/>
      <c r="O133" t="s">
        <v>528</v>
      </c>
      <c r="Q133" s="3"/>
      <c r="R133" s="3"/>
      <c r="S133" s="3"/>
      <c r="T133" t="s">
        <v>36</v>
      </c>
      <c r="V133" s="3"/>
      <c r="W133" s="3"/>
      <c r="X133" s="3"/>
      <c r="Y133" s="3"/>
      <c r="Z133" s="3"/>
      <c r="AA133" s="3"/>
      <c r="AB133" s="3"/>
    </row>
    <row r="134" spans="1:28" x14ac:dyDescent="0.3">
      <c r="A134" s="2" t="str">
        <f>HYPERLINK("https://www.cadth.ca/node/95627", "Caprelsa")</f>
        <v>Caprelsa</v>
      </c>
      <c r="B134" t="s">
        <v>530</v>
      </c>
      <c r="C134" t="s">
        <v>531</v>
      </c>
      <c r="D134" t="s">
        <v>55</v>
      </c>
      <c r="E134" t="s">
        <v>40</v>
      </c>
      <c r="F134" s="3">
        <v>42597</v>
      </c>
      <c r="G134" s="3">
        <v>42824</v>
      </c>
      <c r="H134" t="s">
        <v>532</v>
      </c>
      <c r="I134" t="s">
        <v>33</v>
      </c>
      <c r="J134" t="s">
        <v>533</v>
      </c>
      <c r="K134" t="s">
        <v>184</v>
      </c>
      <c r="L134" t="s">
        <v>534</v>
      </c>
      <c r="N134" s="3">
        <v>40920</v>
      </c>
      <c r="O134" t="s">
        <v>535</v>
      </c>
      <c r="P134" t="s">
        <v>535</v>
      </c>
      <c r="Q134" s="3"/>
      <c r="R134" s="3"/>
      <c r="S134" s="3">
        <v>42604</v>
      </c>
      <c r="U134" t="s">
        <v>99</v>
      </c>
      <c r="V134" s="3">
        <v>42611</v>
      </c>
      <c r="W134" s="3">
        <v>42660</v>
      </c>
      <c r="X134" s="3">
        <v>42754</v>
      </c>
      <c r="Y134" s="3">
        <v>42768</v>
      </c>
      <c r="Z134" s="3">
        <v>42782</v>
      </c>
      <c r="AA134" s="3"/>
      <c r="AB134" s="3">
        <v>42842</v>
      </c>
    </row>
    <row r="135" spans="1:28" x14ac:dyDescent="0.3">
      <c r="A135" s="2" t="str">
        <f>HYPERLINK("https://www.cadth.ca/aztreonam-inhalation-solution", "Cayston")</f>
        <v>Cayston</v>
      </c>
      <c r="B135" t="s">
        <v>536</v>
      </c>
      <c r="C135" t="s">
        <v>537</v>
      </c>
      <c r="D135" t="s">
        <v>46</v>
      </c>
      <c r="E135" t="s">
        <v>40</v>
      </c>
      <c r="F135" s="3">
        <v>40514</v>
      </c>
      <c r="G135" s="3">
        <v>40742</v>
      </c>
      <c r="H135" t="s">
        <v>538</v>
      </c>
      <c r="I135" t="s">
        <v>33</v>
      </c>
      <c r="N135" s="3"/>
      <c r="O135" t="s">
        <v>539</v>
      </c>
      <c r="Q135" s="3"/>
      <c r="R135" s="3"/>
      <c r="S135" s="3"/>
      <c r="T135" t="s">
        <v>36</v>
      </c>
      <c r="V135" s="3"/>
      <c r="W135" s="3"/>
      <c r="X135" s="3"/>
      <c r="Y135" s="3"/>
      <c r="Z135" s="3"/>
      <c r="AA135" s="3"/>
      <c r="AB135" s="3"/>
    </row>
    <row r="136" spans="1:28" x14ac:dyDescent="0.3">
      <c r="A136" s="2" t="str">
        <f>HYPERLINK("https://www.cadth.ca/maraviroc-0", "Celsentri")</f>
        <v>Celsentri</v>
      </c>
      <c r="B136" t="s">
        <v>540</v>
      </c>
      <c r="C136" t="s">
        <v>300</v>
      </c>
      <c r="D136" t="s">
        <v>46</v>
      </c>
      <c r="E136" t="s">
        <v>40</v>
      </c>
      <c r="F136" s="3">
        <v>39575</v>
      </c>
      <c r="G136" s="3">
        <v>39764</v>
      </c>
      <c r="H136" t="s">
        <v>541</v>
      </c>
      <c r="I136" t="s">
        <v>33</v>
      </c>
      <c r="N136" s="3"/>
      <c r="O136" t="s">
        <v>387</v>
      </c>
      <c r="Q136" s="3"/>
      <c r="R136" s="3"/>
      <c r="S136" s="3"/>
      <c r="T136" t="s">
        <v>142</v>
      </c>
      <c r="V136" s="3"/>
      <c r="W136" s="3"/>
      <c r="X136" s="3"/>
      <c r="Y136" s="3"/>
      <c r="Z136" s="3"/>
      <c r="AA136" s="3"/>
      <c r="AB136" s="3"/>
    </row>
    <row r="137" spans="1:28" x14ac:dyDescent="0.3">
      <c r="A137" s="2" t="str">
        <f>HYPERLINK("https://www.cadth.ca/maraviroc-1", "Celsentri")</f>
        <v>Celsentri</v>
      </c>
      <c r="B137" t="s">
        <v>540</v>
      </c>
      <c r="C137" t="s">
        <v>273</v>
      </c>
      <c r="D137" t="s">
        <v>39</v>
      </c>
      <c r="E137" t="s">
        <v>40</v>
      </c>
      <c r="F137" s="3">
        <v>40520</v>
      </c>
      <c r="G137" s="3">
        <v>40742</v>
      </c>
      <c r="H137" t="s">
        <v>542</v>
      </c>
      <c r="I137" t="s">
        <v>33</v>
      </c>
      <c r="N137" s="3"/>
      <c r="O137" t="s">
        <v>455</v>
      </c>
      <c r="Q137" s="3"/>
      <c r="R137" s="3"/>
      <c r="S137" s="3"/>
      <c r="T137" t="s">
        <v>36</v>
      </c>
      <c r="V137" s="3"/>
      <c r="W137" s="3"/>
      <c r="X137" s="3"/>
      <c r="Y137" s="3"/>
      <c r="Z137" s="3"/>
      <c r="AA137" s="3"/>
      <c r="AB137" s="3"/>
    </row>
    <row r="138" spans="1:28" x14ac:dyDescent="0.3">
      <c r="A138" s="2" t="str">
        <f>HYPERLINK("https://www.cadth.ca/maraviroc", "Celsentri")</f>
        <v>Celsentri</v>
      </c>
      <c r="B138" t="s">
        <v>540</v>
      </c>
      <c r="C138" t="s">
        <v>300</v>
      </c>
      <c r="E138" t="s">
        <v>113</v>
      </c>
      <c r="F138" s="3">
        <v>39388</v>
      </c>
      <c r="G138" s="3"/>
      <c r="H138" t="s">
        <v>543</v>
      </c>
      <c r="I138" t="s">
        <v>33</v>
      </c>
      <c r="N138" s="3"/>
      <c r="O138" t="s">
        <v>387</v>
      </c>
      <c r="Q138" s="3"/>
      <c r="R138" s="3"/>
      <c r="S138" s="3"/>
      <c r="T138" t="s">
        <v>36</v>
      </c>
      <c r="V138" s="3"/>
      <c r="W138" s="3"/>
      <c r="X138" s="3"/>
      <c r="Y138" s="3"/>
      <c r="Z138" s="3"/>
      <c r="AA138" s="3"/>
      <c r="AB138" s="3"/>
    </row>
    <row r="139" spans="1:28" x14ac:dyDescent="0.3">
      <c r="A139" s="2" t="str">
        <f>HYPERLINK("https://www.cadth.ca/eliglustat", "Cerdelga")</f>
        <v>Cerdelga</v>
      </c>
      <c r="B139" t="s">
        <v>544</v>
      </c>
      <c r="C139" t="s">
        <v>545</v>
      </c>
      <c r="D139" t="s">
        <v>55</v>
      </c>
      <c r="E139" t="s">
        <v>40</v>
      </c>
      <c r="F139" s="3">
        <v>42755</v>
      </c>
      <c r="G139" s="3">
        <v>42942</v>
      </c>
      <c r="H139" t="s">
        <v>546</v>
      </c>
      <c r="I139" t="s">
        <v>33</v>
      </c>
      <c r="N139" s="3"/>
      <c r="O139" t="s">
        <v>535</v>
      </c>
      <c r="Q139" s="3"/>
      <c r="R139" s="3"/>
      <c r="S139" s="3"/>
      <c r="T139" t="s">
        <v>36</v>
      </c>
      <c r="V139" s="3"/>
      <c r="W139" s="3"/>
      <c r="X139" s="3"/>
      <c r="Y139" s="3"/>
      <c r="Z139" s="3"/>
      <c r="AA139" s="3"/>
      <c r="AB139" s="3"/>
    </row>
    <row r="140" spans="1:28" x14ac:dyDescent="0.3">
      <c r="A140" s="2" t="str">
        <f>HYPERLINK("https://www.cadth.ca/varenicline-tartrate", "Champix")</f>
        <v>Champix</v>
      </c>
      <c r="B140" t="s">
        <v>547</v>
      </c>
      <c r="C140" t="s">
        <v>548</v>
      </c>
      <c r="D140" t="s">
        <v>46</v>
      </c>
      <c r="E140" t="s">
        <v>40</v>
      </c>
      <c r="F140" s="3">
        <v>39162</v>
      </c>
      <c r="G140" s="3">
        <v>39310</v>
      </c>
      <c r="H140" t="s">
        <v>549</v>
      </c>
      <c r="I140" t="s">
        <v>33</v>
      </c>
      <c r="N140" s="3"/>
      <c r="O140" t="s">
        <v>387</v>
      </c>
      <c r="Q140" s="3"/>
      <c r="R140" s="3"/>
      <c r="S140" s="3"/>
      <c r="T140" t="s">
        <v>36</v>
      </c>
      <c r="V140" s="3"/>
      <c r="W140" s="3"/>
      <c r="X140" s="3"/>
      <c r="Y140" s="3"/>
      <c r="Z140" s="3"/>
      <c r="AA140" s="3"/>
      <c r="AB140" s="3"/>
    </row>
    <row r="141" spans="1:28" x14ac:dyDescent="0.3">
      <c r="A141" s="2" t="str">
        <f>HYPERLINK("https://www.cadth.ca/certolizumab-pegol-0", "Cimzia")</f>
        <v>Cimzia</v>
      </c>
      <c r="B141" t="s">
        <v>550</v>
      </c>
      <c r="C141" t="s">
        <v>551</v>
      </c>
      <c r="D141" t="s">
        <v>50</v>
      </c>
      <c r="E141" t="s">
        <v>40</v>
      </c>
      <c r="F141" s="3">
        <v>41813</v>
      </c>
      <c r="G141" s="3">
        <v>42111</v>
      </c>
      <c r="H141" t="s">
        <v>552</v>
      </c>
      <c r="I141" t="s">
        <v>33</v>
      </c>
      <c r="N141" s="3"/>
      <c r="O141" t="s">
        <v>481</v>
      </c>
      <c r="Q141" s="3"/>
      <c r="R141" s="3"/>
      <c r="S141" s="3"/>
      <c r="T141" t="s">
        <v>36</v>
      </c>
      <c r="V141" s="3"/>
      <c r="W141" s="3"/>
      <c r="X141" s="3"/>
      <c r="Y141" s="3"/>
      <c r="Z141" s="3"/>
      <c r="AA141" s="3"/>
      <c r="AB141" s="3"/>
    </row>
    <row r="142" spans="1:28" x14ac:dyDescent="0.3">
      <c r="A142" s="2" t="str">
        <f>HYPERLINK("https://www.cadth.ca/certolizumab-pegol", "Cimzia")</f>
        <v>Cimzia</v>
      </c>
      <c r="B142" t="s">
        <v>550</v>
      </c>
      <c r="C142" t="s">
        <v>78</v>
      </c>
      <c r="D142" t="s">
        <v>39</v>
      </c>
      <c r="E142" t="s">
        <v>40</v>
      </c>
      <c r="F142" s="3">
        <v>40059</v>
      </c>
      <c r="G142" s="3">
        <v>40325</v>
      </c>
      <c r="H142" t="s">
        <v>553</v>
      </c>
      <c r="I142" t="s">
        <v>33</v>
      </c>
      <c r="N142" s="3"/>
      <c r="O142" t="s">
        <v>554</v>
      </c>
      <c r="Q142" s="3"/>
      <c r="R142" s="3"/>
      <c r="S142" s="3"/>
      <c r="T142" t="s">
        <v>36</v>
      </c>
      <c r="V142" s="3"/>
      <c r="W142" s="3"/>
      <c r="X142" s="3"/>
      <c r="Y142" s="3"/>
      <c r="Z142" s="3"/>
      <c r="AA142" s="3"/>
      <c r="AB142" s="3"/>
    </row>
    <row r="143" spans="1:28" x14ac:dyDescent="0.3">
      <c r="A143" s="2" t="str">
        <f>HYPERLINK("https://www.cadth.ca/certolizumab-pegol-1", "Cimzia")</f>
        <v>Cimzia</v>
      </c>
      <c r="B143" t="s">
        <v>550</v>
      </c>
      <c r="C143" t="s">
        <v>555</v>
      </c>
      <c r="D143" t="s">
        <v>50</v>
      </c>
      <c r="E143" t="s">
        <v>40</v>
      </c>
      <c r="F143" s="3">
        <v>41884</v>
      </c>
      <c r="G143" s="3">
        <v>42111</v>
      </c>
      <c r="H143" t="s">
        <v>556</v>
      </c>
      <c r="I143" t="s">
        <v>33</v>
      </c>
      <c r="N143" s="3"/>
      <c r="O143" t="s">
        <v>481</v>
      </c>
      <c r="Q143" s="3"/>
      <c r="R143" s="3"/>
      <c r="S143" s="3"/>
      <c r="T143" t="s">
        <v>36</v>
      </c>
      <c r="V143" s="3"/>
      <c r="W143" s="3"/>
      <c r="X143" s="3"/>
      <c r="Y143" s="3"/>
      <c r="Z143" s="3"/>
      <c r="AA143" s="3"/>
      <c r="AB143" s="3"/>
    </row>
    <row r="144" spans="1:28" x14ac:dyDescent="0.3">
      <c r="A144" s="2" t="str">
        <f>HYPERLINK("https://www.cadth.ca/certolizumab-pegol-2", "Cimzia")</f>
        <v>Cimzia</v>
      </c>
      <c r="B144" t="s">
        <v>557</v>
      </c>
      <c r="C144" t="s">
        <v>558</v>
      </c>
      <c r="D144" t="s">
        <v>55</v>
      </c>
      <c r="E144" t="s">
        <v>40</v>
      </c>
      <c r="F144" s="3">
        <v>43598</v>
      </c>
      <c r="G144" s="3">
        <v>43789</v>
      </c>
      <c r="H144" t="s">
        <v>559</v>
      </c>
      <c r="I144" t="s">
        <v>33</v>
      </c>
      <c r="N144" s="3"/>
      <c r="O144" t="s">
        <v>481</v>
      </c>
      <c r="Q144" s="3"/>
      <c r="R144" s="3"/>
      <c r="S144" s="3"/>
      <c r="T144" t="s">
        <v>36</v>
      </c>
      <c r="V144" s="3"/>
      <c r="W144" s="3"/>
      <c r="X144" s="3"/>
      <c r="Y144" s="3"/>
      <c r="Z144" s="3"/>
      <c r="AA144" s="3"/>
      <c r="AB144" s="3"/>
    </row>
    <row r="145" spans="1:28" x14ac:dyDescent="0.3">
      <c r="A145" s="2" t="str">
        <f>HYPERLINK("https://www.cadth.ca/reslizumab", "Cinqair")</f>
        <v>Cinqair</v>
      </c>
      <c r="B145" t="s">
        <v>560</v>
      </c>
      <c r="C145" t="s">
        <v>561</v>
      </c>
      <c r="D145" t="s">
        <v>55</v>
      </c>
      <c r="E145" t="s">
        <v>40</v>
      </c>
      <c r="F145" s="3">
        <v>42586</v>
      </c>
      <c r="G145" s="3">
        <v>42816</v>
      </c>
      <c r="H145" t="s">
        <v>562</v>
      </c>
      <c r="I145" t="s">
        <v>33</v>
      </c>
      <c r="N145" s="3"/>
      <c r="O145" t="s">
        <v>166</v>
      </c>
      <c r="Q145" s="3"/>
      <c r="R145" s="3"/>
      <c r="S145" s="3"/>
      <c r="T145" t="s">
        <v>36</v>
      </c>
      <c r="V145" s="3"/>
      <c r="W145" s="3"/>
      <c r="X145" s="3"/>
      <c r="Y145" s="3"/>
      <c r="Z145" s="3"/>
      <c r="AA145" s="3"/>
      <c r="AB145" s="3"/>
    </row>
    <row r="146" spans="1:28" x14ac:dyDescent="0.3">
      <c r="A146" s="2" t="str">
        <f>HYPERLINK("https://www.cadth.ca/reslizumab-0", "Cinqair")</f>
        <v>Cinqair</v>
      </c>
      <c r="B146" t="s">
        <v>563</v>
      </c>
      <c r="C146" t="s">
        <v>561</v>
      </c>
      <c r="D146" t="s">
        <v>55</v>
      </c>
      <c r="E146" t="s">
        <v>40</v>
      </c>
      <c r="F146" s="3">
        <v>43397</v>
      </c>
      <c r="G146" s="3">
        <v>43551</v>
      </c>
      <c r="H146" t="s">
        <v>564</v>
      </c>
      <c r="I146" t="s">
        <v>33</v>
      </c>
      <c r="N146" s="3"/>
      <c r="O146" t="s">
        <v>166</v>
      </c>
      <c r="Q146" s="3"/>
      <c r="R146" s="3"/>
      <c r="S146" s="3"/>
      <c r="T146" t="s">
        <v>49</v>
      </c>
      <c r="V146" s="3"/>
      <c r="W146" s="3"/>
      <c r="X146" s="3"/>
      <c r="Y146" s="3"/>
      <c r="Z146" s="3"/>
      <c r="AA146" s="3"/>
      <c r="AB146" s="3"/>
    </row>
    <row r="147" spans="1:28" x14ac:dyDescent="0.3">
      <c r="A147" s="2" t="str">
        <f>HYPERLINK("https://www.cadth.ca/escitalopram-oxalate-0", "Cipralex")</f>
        <v>Cipralex</v>
      </c>
      <c r="B147" t="s">
        <v>565</v>
      </c>
      <c r="C147" t="s">
        <v>566</v>
      </c>
      <c r="D147" t="s">
        <v>39</v>
      </c>
      <c r="E147" t="s">
        <v>40</v>
      </c>
      <c r="F147" s="3">
        <v>38876</v>
      </c>
      <c r="G147" s="3">
        <v>39106</v>
      </c>
      <c r="H147" t="s">
        <v>567</v>
      </c>
      <c r="I147" t="s">
        <v>33</v>
      </c>
      <c r="N147" s="3"/>
      <c r="O147" t="s">
        <v>568</v>
      </c>
      <c r="Q147" s="3"/>
      <c r="R147" s="3"/>
      <c r="S147" s="3"/>
      <c r="T147" t="s">
        <v>142</v>
      </c>
      <c r="V147" s="3"/>
      <c r="W147" s="3"/>
      <c r="X147" s="3"/>
      <c r="Y147" s="3"/>
      <c r="Z147" s="3"/>
      <c r="AA147" s="3"/>
      <c r="AB147" s="3"/>
    </row>
    <row r="148" spans="1:28" x14ac:dyDescent="0.3">
      <c r="A148" s="2" t="str">
        <f>HYPERLINK("https://www.cadth.ca/escitalopram-oxalate", "Cipralex")</f>
        <v>Cipralex</v>
      </c>
      <c r="B148" t="s">
        <v>565</v>
      </c>
      <c r="C148" t="s">
        <v>566</v>
      </c>
      <c r="E148" t="s">
        <v>113</v>
      </c>
      <c r="F148" s="3">
        <v>38567</v>
      </c>
      <c r="G148" s="3"/>
      <c r="H148" t="s">
        <v>569</v>
      </c>
      <c r="I148" t="s">
        <v>33</v>
      </c>
      <c r="N148" s="3"/>
      <c r="O148" t="s">
        <v>568</v>
      </c>
      <c r="Q148" s="3"/>
      <c r="R148" s="3"/>
      <c r="S148" s="3"/>
      <c r="T148" t="s">
        <v>36</v>
      </c>
      <c r="V148" s="3"/>
      <c r="W148" s="3"/>
      <c r="X148" s="3"/>
      <c r="Y148" s="3"/>
      <c r="Z148" s="3"/>
      <c r="AA148" s="3"/>
      <c r="AB148" s="3"/>
    </row>
    <row r="149" spans="1:28" x14ac:dyDescent="0.3">
      <c r="A149" s="2" t="str">
        <f>HYPERLINK("https://www.cadth.ca/ciprofloxacin-hydrochloride-and-dexamethasone-otic-suspension", "Ciprodex")</f>
        <v>Ciprodex</v>
      </c>
      <c r="B149" t="s">
        <v>570</v>
      </c>
      <c r="C149" t="s">
        <v>571</v>
      </c>
      <c r="D149" t="s">
        <v>39</v>
      </c>
      <c r="E149" t="s">
        <v>40</v>
      </c>
      <c r="F149" s="3">
        <v>38149</v>
      </c>
      <c r="G149" s="3">
        <v>38378</v>
      </c>
      <c r="H149" t="s">
        <v>572</v>
      </c>
      <c r="I149" t="s">
        <v>33</v>
      </c>
      <c r="N149" s="3"/>
      <c r="O149" t="s">
        <v>338</v>
      </c>
      <c r="Q149" s="3"/>
      <c r="R149" s="3"/>
      <c r="S149" s="3"/>
      <c r="T149" t="s">
        <v>36</v>
      </c>
      <c r="V149" s="3"/>
      <c r="W149" s="3"/>
      <c r="X149" s="3"/>
      <c r="Y149" s="3"/>
      <c r="Z149" s="3"/>
      <c r="AA149" s="3"/>
      <c r="AB149" s="3"/>
    </row>
    <row r="150" spans="1:28" x14ac:dyDescent="0.3">
      <c r="A150" s="2" t="str">
        <f>HYPERLINK("https://www.cadth.ca/ciprofloxacin-hydrochloride-dexamethasone-otic-suspension", "Ciprodex")</f>
        <v>Ciprodex</v>
      </c>
      <c r="B150" t="s">
        <v>573</v>
      </c>
      <c r="C150" t="s">
        <v>571</v>
      </c>
      <c r="D150" t="s">
        <v>46</v>
      </c>
      <c r="E150" t="s">
        <v>40</v>
      </c>
      <c r="F150" s="3">
        <v>39248</v>
      </c>
      <c r="G150" s="3">
        <v>39373</v>
      </c>
      <c r="H150" t="s">
        <v>574</v>
      </c>
      <c r="I150" t="s">
        <v>33</v>
      </c>
      <c r="N150" s="3"/>
      <c r="O150" t="s">
        <v>338</v>
      </c>
      <c r="Q150" s="3"/>
      <c r="R150" s="3"/>
      <c r="S150" s="3"/>
      <c r="T150" t="s">
        <v>49</v>
      </c>
      <c r="V150" s="3"/>
      <c r="W150" s="3"/>
      <c r="X150" s="3"/>
      <c r="Y150" s="3"/>
      <c r="Z150" s="3"/>
      <c r="AA150" s="3"/>
      <c r="AB150" s="3"/>
    </row>
    <row r="151" spans="1:28" x14ac:dyDescent="0.3">
      <c r="A151" s="2" t="str">
        <f>HYPERLINK("https://www.cadth.ca/clofarabine", "Clolar")</f>
        <v>Clolar</v>
      </c>
      <c r="B151" t="s">
        <v>575</v>
      </c>
      <c r="C151" t="s">
        <v>576</v>
      </c>
      <c r="D151" t="s">
        <v>577</v>
      </c>
      <c r="E151" t="s">
        <v>578</v>
      </c>
      <c r="F151" s="3"/>
      <c r="G151" s="3"/>
      <c r="H151" t="s">
        <v>391</v>
      </c>
      <c r="I151" t="s">
        <v>33</v>
      </c>
      <c r="N151" s="3"/>
      <c r="O151" t="s">
        <v>156</v>
      </c>
      <c r="Q151" s="3"/>
      <c r="R151" s="3"/>
      <c r="S151" s="3"/>
      <c r="T151" t="s">
        <v>579</v>
      </c>
      <c r="V151" s="3"/>
      <c r="W151" s="3"/>
      <c r="X151" s="3"/>
      <c r="Y151" s="3"/>
      <c r="Z151" s="3"/>
      <c r="AA151" s="3"/>
      <c r="AB151" s="3"/>
    </row>
    <row r="152" spans="1:28" x14ac:dyDescent="0.3">
      <c r="A152" s="2" t="str">
        <f>HYPERLINK("https://www.cadth.ca/brimonidine-tartratetimolol-maleate", "Combigan Ophthalmic Solution")</f>
        <v>Combigan Ophthalmic Solution</v>
      </c>
      <c r="B152" t="s">
        <v>580</v>
      </c>
      <c r="C152" t="s">
        <v>581</v>
      </c>
      <c r="D152" t="s">
        <v>46</v>
      </c>
      <c r="E152" t="s">
        <v>40</v>
      </c>
      <c r="F152" s="3">
        <v>37970</v>
      </c>
      <c r="G152" s="3">
        <v>38134</v>
      </c>
      <c r="H152" t="s">
        <v>582</v>
      </c>
      <c r="I152" t="s">
        <v>33</v>
      </c>
      <c r="N152" s="3"/>
      <c r="O152" t="s">
        <v>438</v>
      </c>
      <c r="Q152" s="3"/>
      <c r="R152" s="3"/>
      <c r="S152" s="3"/>
      <c r="T152" t="s">
        <v>36</v>
      </c>
      <c r="V152" s="3"/>
      <c r="W152" s="3"/>
      <c r="X152" s="3"/>
      <c r="Y152" s="3"/>
      <c r="Z152" s="3"/>
      <c r="AA152" s="3"/>
      <c r="AB152" s="3"/>
    </row>
    <row r="153" spans="1:28" x14ac:dyDescent="0.3">
      <c r="A153" s="2" t="str">
        <f>HYPERLINK("https://www.cadth.ca/emtricitabine-rilpivirine-tenofovir-disoproxil-fumarate", "COMPLERA")</f>
        <v>COMPLERA</v>
      </c>
      <c r="B153" t="s">
        <v>583</v>
      </c>
      <c r="C153" t="s">
        <v>273</v>
      </c>
      <c r="D153" t="s">
        <v>160</v>
      </c>
      <c r="E153" t="s">
        <v>40</v>
      </c>
      <c r="F153" s="3">
        <v>40835</v>
      </c>
      <c r="G153" s="3">
        <v>41018</v>
      </c>
      <c r="H153" t="s">
        <v>584</v>
      </c>
      <c r="I153" t="s">
        <v>33</v>
      </c>
      <c r="N153" s="3"/>
      <c r="O153" t="s">
        <v>585</v>
      </c>
      <c r="Q153" s="3"/>
      <c r="R153" s="3"/>
      <c r="S153" s="3"/>
      <c r="T153" t="s">
        <v>36</v>
      </c>
      <c r="V153" s="3"/>
      <c r="W153" s="3"/>
      <c r="X153" s="3"/>
      <c r="Y153" s="3"/>
      <c r="Z153" s="3"/>
      <c r="AA153" s="3"/>
      <c r="AB153" s="3"/>
    </row>
    <row r="154" spans="1:28" x14ac:dyDescent="0.3">
      <c r="A154" s="2" t="str">
        <f>HYPERLINK("https://www.cadth.ca/linaclotide", "Constella")</f>
        <v>Constella</v>
      </c>
      <c r="B154" t="s">
        <v>586</v>
      </c>
      <c r="C154" t="s">
        <v>587</v>
      </c>
      <c r="D154" t="s">
        <v>39</v>
      </c>
      <c r="E154" t="s">
        <v>40</v>
      </c>
      <c r="F154" s="3">
        <v>41990</v>
      </c>
      <c r="G154" s="3">
        <v>42270</v>
      </c>
      <c r="H154" t="s">
        <v>588</v>
      </c>
      <c r="I154" t="s">
        <v>33</v>
      </c>
      <c r="N154" s="3"/>
      <c r="O154" t="s">
        <v>589</v>
      </c>
      <c r="Q154" s="3"/>
      <c r="R154" s="3"/>
      <c r="S154" s="3"/>
      <c r="T154" t="s">
        <v>36</v>
      </c>
      <c r="V154" s="3"/>
      <c r="W154" s="3"/>
      <c r="X154" s="3"/>
      <c r="Y154" s="3"/>
      <c r="Z154" s="3"/>
      <c r="AA154" s="3"/>
      <c r="AB154" s="3"/>
    </row>
    <row r="155" spans="1:28" x14ac:dyDescent="0.3">
      <c r="A155" s="2" t="str">
        <f>HYPERLINK("https://www.cadth.ca/naltrexone-hydrochloride-and-bupropion-hydrochloride", "Contrave")</f>
        <v>Contrave</v>
      </c>
      <c r="B155" t="s">
        <v>590</v>
      </c>
      <c r="C155" t="s">
        <v>591</v>
      </c>
      <c r="D155" t="s">
        <v>127</v>
      </c>
      <c r="E155" t="s">
        <v>40</v>
      </c>
      <c r="F155" s="3">
        <v>43586</v>
      </c>
      <c r="G155" s="3">
        <v>43978</v>
      </c>
      <c r="H155" t="s">
        <v>592</v>
      </c>
      <c r="I155" t="s">
        <v>33</v>
      </c>
      <c r="N155" s="3"/>
      <c r="O155" t="s">
        <v>593</v>
      </c>
      <c r="Q155" s="3"/>
      <c r="R155" s="3"/>
      <c r="S155" s="3"/>
      <c r="T155" t="s">
        <v>36</v>
      </c>
      <c r="V155" s="3"/>
      <c r="W155" s="3"/>
      <c r="X155" s="3"/>
      <c r="Y155" s="3"/>
      <c r="Z155" s="3"/>
      <c r="AA155" s="3"/>
      <c r="AB155" s="3"/>
    </row>
    <row r="156" spans="1:28" x14ac:dyDescent="0.3">
      <c r="A156" s="2" t="str">
        <f>HYPERLINK("https://www.cadth.ca/glatiramer-acetate", "Copaxone")</f>
        <v>Copaxone</v>
      </c>
      <c r="B156" t="s">
        <v>594</v>
      </c>
      <c r="C156" t="s">
        <v>595</v>
      </c>
      <c r="D156" t="s">
        <v>39</v>
      </c>
      <c r="E156" t="s">
        <v>40</v>
      </c>
      <c r="F156" s="3">
        <v>39932</v>
      </c>
      <c r="G156" s="3">
        <v>40142</v>
      </c>
      <c r="H156" t="s">
        <v>596</v>
      </c>
      <c r="I156" t="s">
        <v>33</v>
      </c>
      <c r="N156" s="3"/>
      <c r="O156" t="s">
        <v>597</v>
      </c>
      <c r="Q156" s="3"/>
      <c r="R156" s="3"/>
      <c r="S156" s="3"/>
      <c r="T156" t="s">
        <v>36</v>
      </c>
      <c r="V156" s="3"/>
      <c r="W156" s="3"/>
      <c r="X156" s="3"/>
      <c r="Y156" s="3"/>
      <c r="Z156" s="3"/>
      <c r="AA156" s="3"/>
      <c r="AB156" s="3"/>
    </row>
    <row r="157" spans="1:28" x14ac:dyDescent="0.3">
      <c r="A157" s="2" t="str">
        <f>HYPERLINK("https://www.cadth.ca/budesonide", "Cortiment")</f>
        <v>Cortiment</v>
      </c>
      <c r="B157" t="s">
        <v>598</v>
      </c>
      <c r="C157" t="s">
        <v>599</v>
      </c>
      <c r="D157" t="s">
        <v>127</v>
      </c>
      <c r="E157" t="s">
        <v>40</v>
      </c>
      <c r="F157" s="3">
        <v>42514</v>
      </c>
      <c r="G157" s="3">
        <v>42816</v>
      </c>
      <c r="H157" t="s">
        <v>600</v>
      </c>
      <c r="I157" t="s">
        <v>33</v>
      </c>
      <c r="N157" s="3"/>
      <c r="O157" t="s">
        <v>601</v>
      </c>
      <c r="Q157" s="3"/>
      <c r="R157" s="3"/>
      <c r="S157" s="3"/>
      <c r="T157" t="s">
        <v>36</v>
      </c>
      <c r="V157" s="3"/>
      <c r="W157" s="3"/>
      <c r="X157" s="3"/>
      <c r="Y157" s="3"/>
      <c r="Z157" s="3"/>
      <c r="AA157" s="3"/>
      <c r="AB157" s="3"/>
    </row>
    <row r="158" spans="1:28" x14ac:dyDescent="0.3">
      <c r="A158" s="2" t="str">
        <f>HYPERLINK("https://www.cadth.ca/ranolazine", "Corzyna")</f>
        <v>Corzyna</v>
      </c>
      <c r="B158" t="s">
        <v>602</v>
      </c>
      <c r="C158" t="s">
        <v>603</v>
      </c>
      <c r="D158" t="s">
        <v>127</v>
      </c>
      <c r="E158" t="s">
        <v>40</v>
      </c>
      <c r="F158" s="3">
        <v>44060</v>
      </c>
      <c r="G158" s="3">
        <v>44343</v>
      </c>
      <c r="H158" t="s">
        <v>604</v>
      </c>
      <c r="I158" t="s">
        <v>33</v>
      </c>
      <c r="N158" s="3"/>
      <c r="O158" t="s">
        <v>605</v>
      </c>
      <c r="Q158" s="3"/>
      <c r="R158" s="3"/>
      <c r="S158" s="3"/>
      <c r="T158" t="s">
        <v>36</v>
      </c>
      <c r="V158" s="3"/>
      <c r="W158" s="3"/>
      <c r="X158" s="3"/>
      <c r="Y158" s="3"/>
      <c r="Z158" s="3"/>
      <c r="AA158" s="3"/>
      <c r="AB158" s="3"/>
    </row>
    <row r="159" spans="1:28" x14ac:dyDescent="0.3">
      <c r="A159" s="2" t="str">
        <f>HYPERLINK("https://www.cadth.ca/secukinumab", "Cosentyx")</f>
        <v>Cosentyx</v>
      </c>
      <c r="B159" t="s">
        <v>606</v>
      </c>
      <c r="C159" t="s">
        <v>607</v>
      </c>
      <c r="D159" t="s">
        <v>50</v>
      </c>
      <c r="E159" t="s">
        <v>40</v>
      </c>
      <c r="F159" s="3">
        <v>41981</v>
      </c>
      <c r="G159" s="3">
        <v>42305</v>
      </c>
      <c r="H159" t="s">
        <v>608</v>
      </c>
      <c r="I159" t="s">
        <v>33</v>
      </c>
      <c r="N159" s="3"/>
      <c r="O159" t="s">
        <v>71</v>
      </c>
      <c r="Q159" s="3"/>
      <c r="R159" s="3"/>
      <c r="S159" s="3"/>
      <c r="T159" t="s">
        <v>36</v>
      </c>
      <c r="V159" s="3"/>
      <c r="W159" s="3"/>
      <c r="X159" s="3"/>
      <c r="Y159" s="3"/>
      <c r="Z159" s="3"/>
      <c r="AA159" s="3"/>
      <c r="AB159" s="3"/>
    </row>
    <row r="160" spans="1:28" x14ac:dyDescent="0.3">
      <c r="A160" s="2" t="str">
        <f>HYPERLINK("https://www.cadth.ca/secukinumab-0", "Cosentyx")</f>
        <v>Cosentyx</v>
      </c>
      <c r="B160" t="s">
        <v>606</v>
      </c>
      <c r="C160" t="s">
        <v>609</v>
      </c>
      <c r="D160" t="s">
        <v>55</v>
      </c>
      <c r="E160" t="s">
        <v>40</v>
      </c>
      <c r="F160" s="3">
        <v>42419</v>
      </c>
      <c r="G160" s="3">
        <v>42605</v>
      </c>
      <c r="H160" t="s">
        <v>610</v>
      </c>
      <c r="I160" t="s">
        <v>33</v>
      </c>
      <c r="N160" s="3"/>
      <c r="O160" t="s">
        <v>71</v>
      </c>
      <c r="Q160" s="3"/>
      <c r="R160" s="3"/>
      <c r="S160" s="3"/>
      <c r="T160" t="s">
        <v>36</v>
      </c>
      <c r="V160" s="3"/>
      <c r="W160" s="3"/>
      <c r="X160" s="3"/>
      <c r="Y160" s="3"/>
      <c r="Z160" s="3"/>
      <c r="AA160" s="3"/>
      <c r="AB160" s="3"/>
    </row>
    <row r="161" spans="1:29" x14ac:dyDescent="0.3">
      <c r="A161" s="2" t="str">
        <f>HYPERLINK("https://www.cadth.ca/secukinumab-1", "Cosentyx")</f>
        <v>Cosentyx</v>
      </c>
      <c r="B161" t="s">
        <v>606</v>
      </c>
      <c r="C161" t="s">
        <v>555</v>
      </c>
      <c r="D161" t="s">
        <v>55</v>
      </c>
      <c r="E161" t="s">
        <v>40</v>
      </c>
      <c r="F161" s="3">
        <v>42419</v>
      </c>
      <c r="G161" s="3">
        <v>42605</v>
      </c>
      <c r="H161" t="s">
        <v>611</v>
      </c>
      <c r="I161" t="s">
        <v>33</v>
      </c>
      <c r="N161" s="3"/>
      <c r="O161" t="s">
        <v>71</v>
      </c>
      <c r="Q161" s="3"/>
      <c r="R161" s="3"/>
      <c r="S161" s="3"/>
      <c r="T161" t="s">
        <v>36</v>
      </c>
      <c r="V161" s="3"/>
      <c r="W161" s="3"/>
      <c r="X161" s="3"/>
      <c r="Y161" s="3"/>
      <c r="Z161" s="3"/>
      <c r="AA161" s="3"/>
      <c r="AB161" s="3"/>
    </row>
    <row r="162" spans="1:29" x14ac:dyDescent="0.3">
      <c r="A162" s="2" t="str">
        <f>HYPERLINK("https://www.cadth.ca/node/91310", "Cotellic")</f>
        <v>Cotellic</v>
      </c>
      <c r="B162" t="s">
        <v>612</v>
      </c>
      <c r="C162" t="s">
        <v>613</v>
      </c>
      <c r="D162" t="s">
        <v>55</v>
      </c>
      <c r="E162" t="s">
        <v>40</v>
      </c>
      <c r="F162" s="3">
        <v>42349</v>
      </c>
      <c r="G162" s="3">
        <v>42551</v>
      </c>
      <c r="H162" t="s">
        <v>614</v>
      </c>
      <c r="I162" t="s">
        <v>33</v>
      </c>
      <c r="J162" t="s">
        <v>615</v>
      </c>
      <c r="K162" t="s">
        <v>616</v>
      </c>
      <c r="L162" t="s">
        <v>617</v>
      </c>
      <c r="M162" t="s">
        <v>60</v>
      </c>
      <c r="N162" s="3">
        <v>42422</v>
      </c>
      <c r="O162" t="s">
        <v>618</v>
      </c>
      <c r="P162" t="s">
        <v>618</v>
      </c>
      <c r="Q162" s="3"/>
      <c r="R162" s="3"/>
      <c r="S162" s="3">
        <v>42356</v>
      </c>
      <c r="U162" t="s">
        <v>62</v>
      </c>
      <c r="V162" s="3">
        <v>42373</v>
      </c>
      <c r="W162" s="3">
        <v>42409</v>
      </c>
      <c r="X162" s="3">
        <v>42482</v>
      </c>
      <c r="Y162" s="3">
        <v>42495</v>
      </c>
      <c r="Z162" s="3">
        <v>42509</v>
      </c>
      <c r="AA162" s="3"/>
      <c r="AB162" s="3">
        <v>42569</v>
      </c>
    </row>
    <row r="163" spans="1:29" x14ac:dyDescent="0.3">
      <c r="A163" s="2" t="str">
        <f>HYPERLINK("https://www.cadth.ca/isavuconazole", "Cresemba")</f>
        <v>Cresemba</v>
      </c>
      <c r="B163" t="s">
        <v>619</v>
      </c>
      <c r="C163" t="s">
        <v>620</v>
      </c>
      <c r="D163" t="s">
        <v>55</v>
      </c>
      <c r="E163" t="s">
        <v>40</v>
      </c>
      <c r="F163" s="3">
        <v>43406</v>
      </c>
      <c r="G163" s="3">
        <v>43600</v>
      </c>
      <c r="H163" t="s">
        <v>621</v>
      </c>
      <c r="I163" t="s">
        <v>33</v>
      </c>
      <c r="N163" s="3"/>
      <c r="O163" t="s">
        <v>622</v>
      </c>
      <c r="Q163" s="3"/>
      <c r="R163" s="3"/>
      <c r="S163" s="3"/>
      <c r="T163" t="s">
        <v>36</v>
      </c>
      <c r="V163" s="3"/>
      <c r="W163" s="3"/>
      <c r="X163" s="3"/>
      <c r="Y163" s="3"/>
      <c r="Z163" s="3"/>
      <c r="AA163" s="3"/>
      <c r="AB163" s="3"/>
    </row>
    <row r="164" spans="1:29" x14ac:dyDescent="0.3">
      <c r="A164" s="2" t="str">
        <f>HYPERLINK("https://www.cadth.ca/burosumab", "Crysvita")</f>
        <v>Crysvita</v>
      </c>
      <c r="B164" t="s">
        <v>623</v>
      </c>
      <c r="C164" t="s">
        <v>624</v>
      </c>
      <c r="D164" t="s">
        <v>55</v>
      </c>
      <c r="E164" t="s">
        <v>40</v>
      </c>
      <c r="F164" s="3">
        <v>43669</v>
      </c>
      <c r="G164" s="3">
        <v>43978</v>
      </c>
      <c r="H164" t="s">
        <v>625</v>
      </c>
      <c r="I164" t="s">
        <v>33</v>
      </c>
      <c r="N164" s="3"/>
      <c r="O164" t="s">
        <v>626</v>
      </c>
      <c r="Q164" s="3"/>
      <c r="R164" s="3"/>
      <c r="S164" s="3"/>
      <c r="T164" t="s">
        <v>36</v>
      </c>
      <c r="V164" s="3"/>
      <c r="W164" s="3"/>
      <c r="X164" s="3"/>
      <c r="Y164" s="3"/>
      <c r="Z164" s="3"/>
      <c r="AA164" s="3"/>
      <c r="AB164" s="3"/>
    </row>
    <row r="165" spans="1:29" x14ac:dyDescent="0.3">
      <c r="A165" s="2" t="str">
        <f>HYPERLINK("https://www.cadth.ca/daptomycin", "Cubicin")</f>
        <v>Cubicin</v>
      </c>
      <c r="B165" t="s">
        <v>627</v>
      </c>
      <c r="C165" t="s">
        <v>628</v>
      </c>
      <c r="D165" t="s">
        <v>39</v>
      </c>
      <c r="E165" t="s">
        <v>40</v>
      </c>
      <c r="F165" s="3">
        <v>39513</v>
      </c>
      <c r="G165" s="3">
        <v>39715</v>
      </c>
      <c r="H165" t="s">
        <v>629</v>
      </c>
      <c r="I165" t="s">
        <v>33</v>
      </c>
      <c r="N165" s="3"/>
      <c r="O165" t="s">
        <v>630</v>
      </c>
      <c r="Q165" s="3"/>
      <c r="R165" s="3"/>
      <c r="S165" s="3"/>
      <c r="T165" t="s">
        <v>36</v>
      </c>
      <c r="V165" s="3"/>
      <c r="W165" s="3"/>
      <c r="X165" s="3"/>
      <c r="Y165" s="3"/>
      <c r="Z165" s="3"/>
      <c r="AA165" s="3"/>
      <c r="AB165" s="3"/>
    </row>
    <row r="166" spans="1:29" x14ac:dyDescent="0.3">
      <c r="A166" s="2" t="str">
        <f>HYPERLINK("https://www.cadth.ca/glycopyrrolate", "Cuvposa")</f>
        <v>Cuvposa</v>
      </c>
      <c r="B166" t="s">
        <v>631</v>
      </c>
      <c r="C166" t="s">
        <v>632</v>
      </c>
      <c r="D166" t="s">
        <v>127</v>
      </c>
      <c r="E166" t="s">
        <v>40</v>
      </c>
      <c r="F166" s="3">
        <v>43616</v>
      </c>
      <c r="G166" s="3">
        <v>44006</v>
      </c>
      <c r="H166" t="s">
        <v>633</v>
      </c>
      <c r="I166" t="s">
        <v>33</v>
      </c>
      <c r="N166" s="3"/>
      <c r="O166" t="s">
        <v>634</v>
      </c>
      <c r="Q166" s="3"/>
      <c r="R166" s="3"/>
      <c r="S166" s="3"/>
      <c r="T166" t="s">
        <v>36</v>
      </c>
      <c r="V166" s="3"/>
      <c r="W166" s="3"/>
      <c r="X166" s="3"/>
      <c r="Y166" s="3"/>
      <c r="Z166" s="3"/>
      <c r="AA166" s="3"/>
      <c r="AB166" s="3"/>
    </row>
    <row r="167" spans="1:29" x14ac:dyDescent="0.3">
      <c r="A167" s="2" t="str">
        <f>HYPERLINK("https://www.cadth.ca/duloxetine-hydrochloride-0", "Cymbalta")</f>
        <v>Cymbalta</v>
      </c>
      <c r="B167" t="s">
        <v>635</v>
      </c>
      <c r="C167" t="s">
        <v>636</v>
      </c>
      <c r="D167" t="s">
        <v>39</v>
      </c>
      <c r="E167" t="s">
        <v>40</v>
      </c>
      <c r="F167" s="3">
        <v>39486</v>
      </c>
      <c r="G167" s="3">
        <v>39674</v>
      </c>
      <c r="H167" t="s">
        <v>637</v>
      </c>
      <c r="I167" t="s">
        <v>33</v>
      </c>
      <c r="N167" s="3"/>
      <c r="O167" t="s">
        <v>133</v>
      </c>
      <c r="Q167" s="3"/>
      <c r="R167" s="3"/>
      <c r="S167" s="3"/>
      <c r="T167" t="s">
        <v>36</v>
      </c>
      <c r="V167" s="3"/>
      <c r="W167" s="3"/>
      <c r="X167" s="3"/>
      <c r="Y167" s="3"/>
      <c r="Z167" s="3"/>
      <c r="AA167" s="3"/>
      <c r="AB167" s="3"/>
    </row>
    <row r="168" spans="1:29" x14ac:dyDescent="0.3">
      <c r="A168" s="2" t="str">
        <f>HYPERLINK("https://www.cadth.ca/duloxetine-hydrochloride", "Cymbalta")</f>
        <v>Cymbalta</v>
      </c>
      <c r="B168" t="s">
        <v>635</v>
      </c>
      <c r="C168" t="s">
        <v>638</v>
      </c>
      <c r="D168" t="s">
        <v>46</v>
      </c>
      <c r="E168" t="s">
        <v>40</v>
      </c>
      <c r="F168" s="3">
        <v>39486</v>
      </c>
      <c r="G168" s="3">
        <v>39674</v>
      </c>
      <c r="H168" t="s">
        <v>639</v>
      </c>
      <c r="I168" t="s">
        <v>33</v>
      </c>
      <c r="N168" s="3"/>
      <c r="O168" t="s">
        <v>133</v>
      </c>
      <c r="Q168" s="3"/>
      <c r="R168" s="3"/>
      <c r="S168" s="3"/>
      <c r="T168" t="s">
        <v>36</v>
      </c>
      <c r="V168" s="3"/>
      <c r="W168" s="3"/>
      <c r="X168" s="3"/>
      <c r="Y168" s="3"/>
      <c r="Z168" s="3"/>
      <c r="AA168" s="3"/>
      <c r="AB168" s="3"/>
    </row>
    <row r="169" spans="1:29" x14ac:dyDescent="0.3">
      <c r="A169" s="2" t="str">
        <f>HYPERLINK("https://www.cadth.ca/node/88553", "Cyramza")</f>
        <v>Cyramza</v>
      </c>
      <c r="B169" t="s">
        <v>640</v>
      </c>
      <c r="C169" t="s">
        <v>641</v>
      </c>
      <c r="D169" t="s">
        <v>55</v>
      </c>
      <c r="E169" t="s">
        <v>40</v>
      </c>
      <c r="F169" s="3">
        <v>42109</v>
      </c>
      <c r="G169" s="3">
        <v>42306</v>
      </c>
      <c r="H169" t="s">
        <v>642</v>
      </c>
      <c r="I169" t="s">
        <v>33</v>
      </c>
      <c r="J169" t="s">
        <v>643</v>
      </c>
      <c r="K169" t="s">
        <v>58</v>
      </c>
      <c r="L169" t="s">
        <v>644</v>
      </c>
      <c r="M169" t="s">
        <v>60</v>
      </c>
      <c r="N169" s="3">
        <v>42201</v>
      </c>
      <c r="O169" t="s">
        <v>133</v>
      </c>
      <c r="P169" t="s">
        <v>133</v>
      </c>
      <c r="Q169" s="3"/>
      <c r="R169" s="3"/>
      <c r="S169" s="3">
        <v>42116</v>
      </c>
      <c r="U169" t="s">
        <v>62</v>
      </c>
      <c r="V169" s="3">
        <v>42123</v>
      </c>
      <c r="W169" s="3">
        <v>42160</v>
      </c>
      <c r="X169" s="3">
        <v>42236</v>
      </c>
      <c r="Y169" s="3">
        <v>42250</v>
      </c>
      <c r="Z169" s="3">
        <v>42265</v>
      </c>
      <c r="AA169" s="3"/>
      <c r="AB169" s="3">
        <v>42321</v>
      </c>
    </row>
    <row r="170" spans="1:29" x14ac:dyDescent="0.3">
      <c r="A170" s="2" t="str">
        <f>HYPERLINK("https://www.cadth.ca/node/94966", "Cyramza")</f>
        <v>Cyramza</v>
      </c>
      <c r="B170" t="s">
        <v>640</v>
      </c>
      <c r="E170" t="s">
        <v>154</v>
      </c>
      <c r="F170" s="3"/>
      <c r="G170" s="3"/>
      <c r="H170" t="s">
        <v>645</v>
      </c>
      <c r="I170" t="s">
        <v>33</v>
      </c>
      <c r="K170" t="s">
        <v>205</v>
      </c>
      <c r="L170" t="s">
        <v>646</v>
      </c>
      <c r="M170" t="s">
        <v>60</v>
      </c>
      <c r="N170" s="3"/>
      <c r="O170" t="s">
        <v>133</v>
      </c>
      <c r="P170" t="s">
        <v>133</v>
      </c>
      <c r="Q170" s="3"/>
      <c r="R170" s="3"/>
      <c r="S170" s="3"/>
      <c r="V170" s="3"/>
      <c r="W170" s="3"/>
      <c r="X170" s="3"/>
      <c r="Y170" s="3"/>
      <c r="Z170" s="3"/>
      <c r="AA170" s="3"/>
      <c r="AB170" s="3"/>
      <c r="AC170" t="s">
        <v>647</v>
      </c>
    </row>
    <row r="171" spans="1:29" x14ac:dyDescent="0.3">
      <c r="A171" s="2" t="str">
        <f>HYPERLINK("https://www.cadth.ca/cysteamine", "Cystadrops")</f>
        <v>Cystadrops</v>
      </c>
      <c r="B171" t="s">
        <v>648</v>
      </c>
      <c r="C171" t="s">
        <v>649</v>
      </c>
      <c r="D171" t="s">
        <v>55</v>
      </c>
      <c r="E171" t="s">
        <v>40</v>
      </c>
      <c r="F171" s="3">
        <v>43444</v>
      </c>
      <c r="G171" s="3">
        <v>43634</v>
      </c>
      <c r="H171" t="s">
        <v>650</v>
      </c>
      <c r="I171" t="s">
        <v>33</v>
      </c>
      <c r="N171" s="3"/>
      <c r="O171" t="s">
        <v>651</v>
      </c>
      <c r="Q171" s="3"/>
      <c r="R171" s="3"/>
      <c r="S171" s="3"/>
      <c r="T171" t="s">
        <v>36</v>
      </c>
      <c r="V171" s="3"/>
      <c r="W171" s="3"/>
      <c r="X171" s="3"/>
      <c r="Y171" s="3"/>
      <c r="Z171" s="3"/>
      <c r="AA171" s="3"/>
      <c r="AB171" s="3"/>
    </row>
    <row r="172" spans="1:29" x14ac:dyDescent="0.3">
      <c r="A172" s="2" t="str">
        <f>HYPERLINK("https://www.cadth.ca/daclatasvir", "Daklinza")</f>
        <v>Daklinza</v>
      </c>
      <c r="B172" t="s">
        <v>652</v>
      </c>
      <c r="C172" t="s">
        <v>653</v>
      </c>
      <c r="D172" t="s">
        <v>46</v>
      </c>
      <c r="E172" t="s">
        <v>40</v>
      </c>
      <c r="F172" s="3">
        <v>42048</v>
      </c>
      <c r="G172" s="3">
        <v>42268</v>
      </c>
      <c r="H172" t="s">
        <v>654</v>
      </c>
      <c r="I172" t="s">
        <v>33</v>
      </c>
      <c r="N172" s="3"/>
      <c r="O172" t="s">
        <v>655</v>
      </c>
      <c r="Q172" s="3"/>
      <c r="R172" s="3"/>
      <c r="S172" s="3"/>
      <c r="T172" t="s">
        <v>36</v>
      </c>
      <c r="V172" s="3"/>
      <c r="W172" s="3"/>
      <c r="X172" s="3"/>
      <c r="Y172" s="3"/>
      <c r="Z172" s="3"/>
      <c r="AA172" s="3"/>
      <c r="AB172" s="3"/>
    </row>
    <row r="173" spans="1:29" x14ac:dyDescent="0.3">
      <c r="A173" s="2" t="str">
        <f>HYPERLINK("https://www.cadth.ca/daclatasvir-0", "Daklinza")</f>
        <v>Daklinza</v>
      </c>
      <c r="B173" t="s">
        <v>656</v>
      </c>
      <c r="C173" t="s">
        <v>653</v>
      </c>
      <c r="D173" t="s">
        <v>55</v>
      </c>
      <c r="E173" t="s">
        <v>40</v>
      </c>
      <c r="F173" s="3">
        <v>42375</v>
      </c>
      <c r="G173" s="3">
        <v>42509</v>
      </c>
      <c r="H173" t="s">
        <v>657</v>
      </c>
      <c r="I173" t="s">
        <v>33</v>
      </c>
      <c r="N173" s="3"/>
      <c r="O173" t="s">
        <v>658</v>
      </c>
      <c r="Q173" s="3"/>
      <c r="R173" s="3"/>
      <c r="S173" s="3"/>
      <c r="T173" t="s">
        <v>49</v>
      </c>
      <c r="V173" s="3"/>
      <c r="W173" s="3"/>
      <c r="X173" s="3"/>
      <c r="Y173" s="3"/>
      <c r="Z173" s="3"/>
      <c r="AA173" s="3"/>
      <c r="AB173" s="3"/>
    </row>
    <row r="174" spans="1:29" x14ac:dyDescent="0.3">
      <c r="A174" s="2" t="str">
        <f>HYPERLINK("https://www.cadth.ca/node/115942", "Darzalex")</f>
        <v>Darzalex</v>
      </c>
      <c r="B174" t="s">
        <v>659</v>
      </c>
      <c r="C174" t="s">
        <v>660</v>
      </c>
      <c r="D174" t="s">
        <v>55</v>
      </c>
      <c r="E174" t="s">
        <v>40</v>
      </c>
      <c r="F174" s="3">
        <v>43663</v>
      </c>
      <c r="G174" s="3">
        <v>43895</v>
      </c>
      <c r="H174" t="s">
        <v>661</v>
      </c>
      <c r="I174" t="s">
        <v>33</v>
      </c>
      <c r="J174" t="s">
        <v>662</v>
      </c>
      <c r="K174" t="s">
        <v>663</v>
      </c>
      <c r="L174" t="s">
        <v>664</v>
      </c>
      <c r="M174" t="s">
        <v>60</v>
      </c>
      <c r="N174" s="3">
        <v>43763</v>
      </c>
      <c r="O174" t="s">
        <v>665</v>
      </c>
      <c r="P174" t="s">
        <v>665</v>
      </c>
      <c r="Q174" s="3"/>
      <c r="R174" s="3"/>
      <c r="S174" s="3">
        <v>43677</v>
      </c>
      <c r="V174" s="3">
        <v>43677</v>
      </c>
      <c r="W174" s="3">
        <v>43738</v>
      </c>
      <c r="X174" s="3">
        <v>43811</v>
      </c>
      <c r="Y174" s="3">
        <v>43833</v>
      </c>
      <c r="Z174" s="3">
        <v>43847</v>
      </c>
      <c r="AA174" s="3"/>
      <c r="AB174" s="3">
        <v>43910</v>
      </c>
    </row>
    <row r="175" spans="1:29" x14ac:dyDescent="0.3">
      <c r="A175" s="2" t="str">
        <f>HYPERLINK("https://www.cadth.ca/node/100622", "Darzalex")</f>
        <v>Darzalex</v>
      </c>
      <c r="B175" t="s">
        <v>659</v>
      </c>
      <c r="C175" t="s">
        <v>666</v>
      </c>
      <c r="D175" t="s">
        <v>55</v>
      </c>
      <c r="E175" t="s">
        <v>40</v>
      </c>
      <c r="F175" s="3">
        <v>42797</v>
      </c>
      <c r="G175" s="3">
        <v>43013</v>
      </c>
      <c r="H175" t="s">
        <v>667</v>
      </c>
      <c r="I175" t="s">
        <v>33</v>
      </c>
      <c r="J175" t="s">
        <v>668</v>
      </c>
      <c r="K175" t="s">
        <v>34</v>
      </c>
      <c r="L175" t="s">
        <v>669</v>
      </c>
      <c r="M175" t="s">
        <v>60</v>
      </c>
      <c r="N175" s="3">
        <v>42838</v>
      </c>
      <c r="O175" t="s">
        <v>665</v>
      </c>
      <c r="P175" t="s">
        <v>665</v>
      </c>
      <c r="Q175" s="3"/>
      <c r="R175" s="3"/>
      <c r="S175" s="3">
        <v>42804</v>
      </c>
      <c r="U175" t="s">
        <v>62</v>
      </c>
      <c r="V175" s="3">
        <v>42811</v>
      </c>
      <c r="W175" s="3">
        <v>42865</v>
      </c>
      <c r="X175" s="3">
        <v>42936</v>
      </c>
      <c r="Y175" s="3">
        <v>42950</v>
      </c>
      <c r="Z175" s="3">
        <v>42965</v>
      </c>
      <c r="AA175" s="3"/>
      <c r="AB175" s="3">
        <v>43031</v>
      </c>
    </row>
    <row r="176" spans="1:29" x14ac:dyDescent="0.3">
      <c r="A176" s="2" t="str">
        <f>HYPERLINK("https://www.cadth.ca/daratumumab", "Darzalex")</f>
        <v>Darzalex</v>
      </c>
      <c r="B176" t="s">
        <v>670</v>
      </c>
      <c r="C176" t="s">
        <v>671</v>
      </c>
      <c r="E176" t="s">
        <v>31</v>
      </c>
      <c r="F176" s="3">
        <v>44392</v>
      </c>
      <c r="G176" s="3"/>
      <c r="H176" t="s">
        <v>672</v>
      </c>
      <c r="I176" t="s">
        <v>33</v>
      </c>
      <c r="K176" t="s">
        <v>673</v>
      </c>
      <c r="N176" s="3"/>
      <c r="O176" t="s">
        <v>665</v>
      </c>
      <c r="Q176" s="3"/>
      <c r="R176" s="3"/>
      <c r="S176" s="3"/>
      <c r="T176" t="s">
        <v>36</v>
      </c>
      <c r="V176" s="3"/>
      <c r="W176" s="3"/>
      <c r="X176" s="3"/>
      <c r="Y176" s="3"/>
      <c r="Z176" s="3"/>
      <c r="AA176" s="3"/>
      <c r="AB176" s="3"/>
    </row>
    <row r="177" spans="1:29" x14ac:dyDescent="0.3">
      <c r="A177" s="2" t="str">
        <f>HYPERLINK("https://www.cadth.ca/node/94462", "Darzalex")</f>
        <v>Darzalex</v>
      </c>
      <c r="B177" t="s">
        <v>659</v>
      </c>
      <c r="C177" t="s">
        <v>663</v>
      </c>
      <c r="D177" t="s">
        <v>127</v>
      </c>
      <c r="E177" t="s">
        <v>40</v>
      </c>
      <c r="F177" s="3">
        <v>42481</v>
      </c>
      <c r="G177" s="3">
        <v>42705</v>
      </c>
      <c r="H177" t="s">
        <v>674</v>
      </c>
      <c r="I177" t="s">
        <v>33</v>
      </c>
      <c r="J177" t="s">
        <v>675</v>
      </c>
      <c r="K177" t="s">
        <v>34</v>
      </c>
      <c r="L177" t="s">
        <v>676</v>
      </c>
      <c r="M177" t="s">
        <v>60</v>
      </c>
      <c r="N177" s="3">
        <v>42550</v>
      </c>
      <c r="O177" t="s">
        <v>677</v>
      </c>
      <c r="P177" t="s">
        <v>677</v>
      </c>
      <c r="Q177" s="3">
        <v>42481</v>
      </c>
      <c r="R177" s="3"/>
      <c r="S177" s="3">
        <v>42502</v>
      </c>
      <c r="U177" t="s">
        <v>214</v>
      </c>
      <c r="V177" s="3">
        <v>42495</v>
      </c>
      <c r="W177" s="3">
        <v>42559</v>
      </c>
      <c r="X177" s="3">
        <v>42628</v>
      </c>
      <c r="Y177" s="3">
        <v>42642</v>
      </c>
      <c r="Z177" s="3">
        <v>42657</v>
      </c>
      <c r="AA177" s="3"/>
      <c r="AB177" s="3">
        <v>42720</v>
      </c>
    </row>
    <row r="178" spans="1:29" x14ac:dyDescent="0.3">
      <c r="A178" s="2" t="str">
        <f>HYPERLINK("https://www.cadth.ca/node/112328", "Darzalex")</f>
        <v>Darzalex</v>
      </c>
      <c r="B178" t="s">
        <v>659</v>
      </c>
      <c r="C178" t="s">
        <v>678</v>
      </c>
      <c r="D178" t="s">
        <v>55</v>
      </c>
      <c r="E178" t="s">
        <v>40</v>
      </c>
      <c r="F178" s="3">
        <v>43469</v>
      </c>
      <c r="G178" s="3">
        <v>43706</v>
      </c>
      <c r="H178" t="s">
        <v>679</v>
      </c>
      <c r="I178" t="s">
        <v>33</v>
      </c>
      <c r="J178" t="s">
        <v>680</v>
      </c>
      <c r="K178" t="s">
        <v>34</v>
      </c>
      <c r="L178" t="s">
        <v>681</v>
      </c>
      <c r="N178" s="3">
        <v>43431</v>
      </c>
      <c r="O178" t="s">
        <v>665</v>
      </c>
      <c r="P178" t="s">
        <v>665</v>
      </c>
      <c r="Q178" s="3"/>
      <c r="R178" s="3"/>
      <c r="S178" s="3">
        <v>43483</v>
      </c>
      <c r="V178" s="3">
        <v>43483</v>
      </c>
      <c r="W178" s="3">
        <v>43549</v>
      </c>
      <c r="X178" s="3">
        <v>43636</v>
      </c>
      <c r="Y178" s="3">
        <v>43651</v>
      </c>
      <c r="Z178" s="3">
        <v>43665</v>
      </c>
      <c r="AA178" s="3"/>
      <c r="AB178" s="3">
        <v>43724</v>
      </c>
    </row>
    <row r="179" spans="1:29" x14ac:dyDescent="0.3">
      <c r="A179" s="2" t="str">
        <f>HYPERLINK("https://www.cadth.ca/node/120452", "Daurismo")</f>
        <v>Daurismo</v>
      </c>
      <c r="B179" t="s">
        <v>682</v>
      </c>
      <c r="C179" t="s">
        <v>683</v>
      </c>
      <c r="D179" t="s">
        <v>127</v>
      </c>
      <c r="E179" t="s">
        <v>40</v>
      </c>
      <c r="F179" s="3">
        <v>43957</v>
      </c>
      <c r="G179" s="3">
        <v>44204</v>
      </c>
      <c r="H179" t="s">
        <v>684</v>
      </c>
      <c r="I179" t="s">
        <v>33</v>
      </c>
      <c r="J179" t="s">
        <v>685</v>
      </c>
      <c r="K179" t="s">
        <v>284</v>
      </c>
      <c r="L179" t="s">
        <v>686</v>
      </c>
      <c r="M179" t="s">
        <v>60</v>
      </c>
      <c r="N179" s="3">
        <v>43949</v>
      </c>
      <c r="O179" t="s">
        <v>445</v>
      </c>
      <c r="P179" t="s">
        <v>445</v>
      </c>
      <c r="Q179" s="3"/>
      <c r="R179" s="3"/>
      <c r="S179" s="3">
        <v>44000</v>
      </c>
      <c r="V179" s="3">
        <v>43972</v>
      </c>
      <c r="W179" s="3">
        <v>44041</v>
      </c>
      <c r="X179" s="3">
        <v>44119</v>
      </c>
      <c r="Y179" s="3">
        <v>44133</v>
      </c>
      <c r="Z179" s="3">
        <v>44147</v>
      </c>
      <c r="AA179" s="3"/>
      <c r="AB179" s="3">
        <v>44221</v>
      </c>
    </row>
    <row r="180" spans="1:29" x14ac:dyDescent="0.3">
      <c r="A180" s="2" t="str">
        <f>HYPERLINK("https://www.cadth.ca/roflumilast", "Daxas")</f>
        <v>Daxas</v>
      </c>
      <c r="B180" t="s">
        <v>687</v>
      </c>
      <c r="C180" t="s">
        <v>257</v>
      </c>
      <c r="D180" t="s">
        <v>39</v>
      </c>
      <c r="E180" t="s">
        <v>40</v>
      </c>
      <c r="F180" s="3">
        <v>40512</v>
      </c>
      <c r="G180" s="3">
        <v>40751</v>
      </c>
      <c r="H180" t="s">
        <v>688</v>
      </c>
      <c r="I180" t="s">
        <v>33</v>
      </c>
      <c r="N180" s="3"/>
      <c r="O180" t="s">
        <v>689</v>
      </c>
      <c r="Q180" s="3"/>
      <c r="R180" s="3"/>
      <c r="S180" s="3"/>
      <c r="T180" t="s">
        <v>36</v>
      </c>
      <c r="V180" s="3"/>
      <c r="W180" s="3"/>
      <c r="X180" s="3"/>
      <c r="Y180" s="3"/>
      <c r="Z180" s="3"/>
      <c r="AA180" s="3"/>
      <c r="AB180" s="3"/>
    </row>
    <row r="181" spans="1:29" x14ac:dyDescent="0.3">
      <c r="A181" s="2" t="str">
        <f>HYPERLINK("https://www.cadth.ca/doravirine-lamuvidine-tenofovir-disoproxil-fumarate", "Delstrigo")</f>
        <v>Delstrigo</v>
      </c>
      <c r="B181" t="s">
        <v>690</v>
      </c>
      <c r="C181" t="s">
        <v>394</v>
      </c>
      <c r="D181" t="s">
        <v>55</v>
      </c>
      <c r="E181" t="s">
        <v>40</v>
      </c>
      <c r="F181" s="3">
        <v>43420</v>
      </c>
      <c r="G181" s="3">
        <v>43599</v>
      </c>
      <c r="H181" t="s">
        <v>691</v>
      </c>
      <c r="I181" t="s">
        <v>33</v>
      </c>
      <c r="N181" s="3"/>
      <c r="O181" t="s">
        <v>289</v>
      </c>
      <c r="Q181" s="3"/>
      <c r="R181" s="3"/>
      <c r="S181" s="3"/>
      <c r="T181" t="s">
        <v>36</v>
      </c>
      <c r="V181" s="3"/>
      <c r="W181" s="3"/>
      <c r="X181" s="3"/>
      <c r="Y181" s="3"/>
      <c r="Z181" s="3"/>
      <c r="AA181" s="3"/>
      <c r="AB181" s="3"/>
    </row>
    <row r="182" spans="1:29" x14ac:dyDescent="0.3">
      <c r="A182" s="2" t="str">
        <f>HYPERLINK("https://www.cadth.ca/node/115517", "Demylocan")</f>
        <v>Demylocan</v>
      </c>
      <c r="B182" t="s">
        <v>692</v>
      </c>
      <c r="D182" t="s">
        <v>577</v>
      </c>
      <c r="E182" t="s">
        <v>578</v>
      </c>
      <c r="F182" s="3"/>
      <c r="G182" s="3"/>
      <c r="H182" t="s">
        <v>391</v>
      </c>
      <c r="I182" t="s">
        <v>33</v>
      </c>
      <c r="K182" t="s">
        <v>673</v>
      </c>
      <c r="N182" s="3"/>
      <c r="O182" t="s">
        <v>693</v>
      </c>
      <c r="Q182" s="3"/>
      <c r="R182" s="3"/>
      <c r="S182" s="3"/>
      <c r="V182" s="3"/>
      <c r="W182" s="3"/>
      <c r="X182" s="3"/>
      <c r="Y182" s="3"/>
      <c r="Z182" s="3"/>
      <c r="AA182" s="3"/>
      <c r="AB182" s="3"/>
      <c r="AC182" t="s">
        <v>694</v>
      </c>
    </row>
    <row r="183" spans="1:29" x14ac:dyDescent="0.3">
      <c r="A183" s="2" t="str">
        <f>HYPERLINK("https://www.cadth.ca/penciclovir", "Denavir")</f>
        <v>Denavir</v>
      </c>
      <c r="B183" t="s">
        <v>695</v>
      </c>
      <c r="C183" t="s">
        <v>696</v>
      </c>
      <c r="D183" t="s">
        <v>39</v>
      </c>
      <c r="E183" t="s">
        <v>40</v>
      </c>
      <c r="F183" s="3">
        <v>38980</v>
      </c>
      <c r="G183" s="3">
        <v>39198</v>
      </c>
      <c r="H183" t="s">
        <v>697</v>
      </c>
      <c r="I183" t="s">
        <v>33</v>
      </c>
      <c r="N183" s="3"/>
      <c r="O183" t="s">
        <v>698</v>
      </c>
      <c r="Q183" s="3"/>
      <c r="R183" s="3"/>
      <c r="S183" s="3"/>
      <c r="T183" t="s">
        <v>36</v>
      </c>
      <c r="V183" s="3"/>
      <c r="W183" s="3"/>
      <c r="X183" s="3"/>
      <c r="Y183" s="3"/>
      <c r="Z183" s="3"/>
      <c r="AA183" s="3"/>
      <c r="AB183" s="3"/>
    </row>
    <row r="184" spans="1:29" x14ac:dyDescent="0.3">
      <c r="A184" s="2" t="str">
        <f>HYPERLINK("https://www.cadth.ca/emtricitabine-tenofovir-alafenamide", "Descovy")</f>
        <v>Descovy</v>
      </c>
      <c r="B184" t="s">
        <v>699</v>
      </c>
      <c r="C184" t="s">
        <v>394</v>
      </c>
      <c r="D184" t="s">
        <v>55</v>
      </c>
      <c r="E184" t="s">
        <v>40</v>
      </c>
      <c r="F184" s="3">
        <v>42398</v>
      </c>
      <c r="G184" s="3">
        <v>42606</v>
      </c>
      <c r="H184" t="s">
        <v>700</v>
      </c>
      <c r="I184" t="s">
        <v>33</v>
      </c>
      <c r="N184" s="3"/>
      <c r="O184" t="s">
        <v>396</v>
      </c>
      <c r="Q184" s="3"/>
      <c r="R184" s="3"/>
      <c r="S184" s="3"/>
      <c r="T184" t="s">
        <v>36</v>
      </c>
      <c r="V184" s="3"/>
      <c r="W184" s="3"/>
      <c r="X184" s="3"/>
      <c r="Y184" s="3"/>
      <c r="Z184" s="3"/>
      <c r="AA184" s="3"/>
      <c r="AB184" s="3"/>
    </row>
    <row r="185" spans="1:29" x14ac:dyDescent="0.3">
      <c r="A185" s="2" t="str">
        <f>HYPERLINK("https://www.cadth.ca/stiripentol", "Diacomit")</f>
        <v>Diacomit</v>
      </c>
      <c r="B185" t="s">
        <v>701</v>
      </c>
      <c r="C185" t="s">
        <v>702</v>
      </c>
      <c r="D185" t="s">
        <v>50</v>
      </c>
      <c r="E185" t="s">
        <v>40</v>
      </c>
      <c r="F185" s="3">
        <v>41577</v>
      </c>
      <c r="G185" s="3">
        <v>41928</v>
      </c>
      <c r="H185" t="s">
        <v>703</v>
      </c>
      <c r="I185" t="s">
        <v>33</v>
      </c>
      <c r="N185" s="3"/>
      <c r="O185" t="s">
        <v>704</v>
      </c>
      <c r="Q185" s="3"/>
      <c r="R185" s="3"/>
      <c r="S185" s="3"/>
      <c r="T185" t="s">
        <v>36</v>
      </c>
      <c r="V185" s="3"/>
      <c r="W185" s="3"/>
      <c r="X185" s="3"/>
      <c r="Y185" s="3"/>
      <c r="Z185" s="3"/>
      <c r="AA185" s="3"/>
      <c r="AB185" s="3"/>
    </row>
    <row r="186" spans="1:29" x14ac:dyDescent="0.3">
      <c r="A186" s="2" t="str">
        <f>HYPERLINK("https://www.cadth.ca/fidaxomicin", "Dificid")</f>
        <v>Dificid</v>
      </c>
      <c r="B186" t="s">
        <v>705</v>
      </c>
      <c r="C186" t="s">
        <v>706</v>
      </c>
      <c r="D186" t="s">
        <v>228</v>
      </c>
      <c r="E186" t="s">
        <v>40</v>
      </c>
      <c r="F186" s="3">
        <v>41100</v>
      </c>
      <c r="G186" s="3">
        <v>41262</v>
      </c>
      <c r="H186" t="s">
        <v>707</v>
      </c>
      <c r="I186" t="s">
        <v>33</v>
      </c>
      <c r="N186" s="3"/>
      <c r="O186" t="s">
        <v>708</v>
      </c>
      <c r="Q186" s="3"/>
      <c r="R186" s="3"/>
      <c r="S186" s="3"/>
      <c r="T186" t="s">
        <v>36</v>
      </c>
      <c r="V186" s="3"/>
      <c r="W186" s="3"/>
      <c r="X186" s="3"/>
      <c r="Y186" s="3"/>
      <c r="Z186" s="3"/>
      <c r="AA186" s="3"/>
      <c r="AB186" s="3"/>
    </row>
    <row r="187" spans="1:29" x14ac:dyDescent="0.3">
      <c r="A187" s="2" t="str">
        <f>HYPERLINK("https://www.cadth.ca/triheptanoin", "Dojolvi")</f>
        <v>Dojolvi</v>
      </c>
      <c r="B187" t="s">
        <v>709</v>
      </c>
      <c r="C187" t="s">
        <v>710</v>
      </c>
      <c r="E187" t="s">
        <v>31</v>
      </c>
      <c r="F187" s="3">
        <v>44286</v>
      </c>
      <c r="G187" s="3"/>
      <c r="H187" t="s">
        <v>711</v>
      </c>
      <c r="I187" t="s">
        <v>33</v>
      </c>
      <c r="N187" s="3"/>
      <c r="O187" t="s">
        <v>712</v>
      </c>
      <c r="Q187" s="3"/>
      <c r="R187" s="3"/>
      <c r="S187" s="3"/>
      <c r="T187" t="s">
        <v>36</v>
      </c>
      <c r="V187" s="3"/>
      <c r="W187" s="3"/>
      <c r="X187" s="3"/>
      <c r="Y187" s="3"/>
      <c r="Z187" s="3"/>
      <c r="AA187" s="3"/>
      <c r="AB187" s="3"/>
    </row>
    <row r="188" spans="1:29" x14ac:dyDescent="0.3">
      <c r="A188" s="2" t="str">
        <f>HYPERLINK("https://www.cadth.ca/dolutegravir-lamivudine", "Dovato")</f>
        <v>Dovato</v>
      </c>
      <c r="B188" t="s">
        <v>713</v>
      </c>
      <c r="C188" t="s">
        <v>394</v>
      </c>
      <c r="D188" t="s">
        <v>55</v>
      </c>
      <c r="E188" t="s">
        <v>40</v>
      </c>
      <c r="F188" s="3">
        <v>43517</v>
      </c>
      <c r="G188" s="3">
        <v>43738</v>
      </c>
      <c r="H188" t="s">
        <v>714</v>
      </c>
      <c r="I188" t="s">
        <v>33</v>
      </c>
      <c r="N188" s="3"/>
      <c r="O188" t="s">
        <v>715</v>
      </c>
      <c r="Q188" s="3"/>
      <c r="R188" s="3"/>
      <c r="S188" s="3"/>
      <c r="T188" t="s">
        <v>36</v>
      </c>
      <c r="V188" s="3"/>
      <c r="W188" s="3"/>
      <c r="X188" s="3"/>
      <c r="Y188" s="3"/>
      <c r="Z188" s="3"/>
      <c r="AA188" s="3"/>
      <c r="AB188" s="3"/>
    </row>
    <row r="189" spans="1:29" x14ac:dyDescent="0.3">
      <c r="A189" s="2" t="str">
        <f>HYPERLINK("https://www.cadth.ca/aclidinium-bromideformoterol-fumarate-dihydrate", "Duaklir Genuair")</f>
        <v>Duaklir Genuair</v>
      </c>
      <c r="B189" t="s">
        <v>716</v>
      </c>
      <c r="C189" t="s">
        <v>257</v>
      </c>
      <c r="D189" t="s">
        <v>46</v>
      </c>
      <c r="E189" t="s">
        <v>40</v>
      </c>
      <c r="F189" s="3">
        <v>42095</v>
      </c>
      <c r="G189" s="3">
        <v>42265</v>
      </c>
      <c r="H189" t="s">
        <v>717</v>
      </c>
      <c r="I189" t="s">
        <v>33</v>
      </c>
      <c r="N189" s="3"/>
      <c r="O189" t="s">
        <v>465</v>
      </c>
      <c r="Q189" s="3"/>
      <c r="R189" s="3"/>
      <c r="S189" s="3"/>
      <c r="T189" t="s">
        <v>36</v>
      </c>
      <c r="V189" s="3"/>
      <c r="W189" s="3"/>
      <c r="X189" s="3"/>
      <c r="Y189" s="3"/>
      <c r="Z189" s="3"/>
      <c r="AA189" s="3"/>
      <c r="AB189" s="3"/>
    </row>
    <row r="190" spans="1:29" x14ac:dyDescent="0.3">
      <c r="A190" s="2" t="str">
        <f>HYPERLINK("https://www.cadth.ca/halobetasol-propionate-and-tazarotene-0", "Duobrii")</f>
        <v>Duobrii</v>
      </c>
      <c r="B190" t="s">
        <v>718</v>
      </c>
      <c r="C190" t="s">
        <v>558</v>
      </c>
      <c r="D190" t="s">
        <v>55</v>
      </c>
      <c r="E190" t="s">
        <v>40</v>
      </c>
      <c r="F190" s="3">
        <v>43854</v>
      </c>
      <c r="G190" s="3">
        <v>44132</v>
      </c>
      <c r="H190" t="s">
        <v>719</v>
      </c>
      <c r="I190" t="s">
        <v>33</v>
      </c>
      <c r="N190" s="3"/>
      <c r="O190" t="s">
        <v>593</v>
      </c>
      <c r="Q190" s="3"/>
      <c r="R190" s="3"/>
      <c r="S190" s="3"/>
      <c r="T190" t="s">
        <v>36</v>
      </c>
      <c r="V190" s="3"/>
      <c r="W190" s="3"/>
      <c r="X190" s="3"/>
      <c r="Y190" s="3"/>
      <c r="Z190" s="3"/>
      <c r="AA190" s="3"/>
      <c r="AB190" s="3"/>
    </row>
    <row r="191" spans="1:29" x14ac:dyDescent="0.3">
      <c r="A191" s="2" t="str">
        <f>HYPERLINK("https://www.cadth.ca/levodopa-carbidopa", "Duodopa")</f>
        <v>Duodopa</v>
      </c>
      <c r="B191" t="s">
        <v>720</v>
      </c>
      <c r="C191" t="s">
        <v>340</v>
      </c>
      <c r="D191" t="s">
        <v>39</v>
      </c>
      <c r="E191" t="s">
        <v>40</v>
      </c>
      <c r="F191" s="3">
        <v>39801</v>
      </c>
      <c r="G191" s="3">
        <v>40016</v>
      </c>
      <c r="H191" t="s">
        <v>721</v>
      </c>
      <c r="I191" t="s">
        <v>33</v>
      </c>
      <c r="N191" s="3"/>
      <c r="O191" t="s">
        <v>722</v>
      </c>
      <c r="Q191" s="3"/>
      <c r="R191" s="3"/>
      <c r="S191" s="3"/>
      <c r="T191" t="s">
        <v>36</v>
      </c>
      <c r="V191" s="3"/>
      <c r="W191" s="3"/>
      <c r="X191" s="3"/>
      <c r="Y191" s="3"/>
      <c r="Z191" s="3"/>
      <c r="AA191" s="3"/>
      <c r="AB191" s="3"/>
    </row>
    <row r="192" spans="1:29" x14ac:dyDescent="0.3">
      <c r="A192" s="2" t="str">
        <f>HYPERLINK("https://www.cadth.ca/levodopa-carbidopa-drug-plan-submission", "Duodopa")</f>
        <v>Duodopa</v>
      </c>
      <c r="B192" t="s">
        <v>723</v>
      </c>
      <c r="C192" t="s">
        <v>340</v>
      </c>
      <c r="D192" t="s">
        <v>55</v>
      </c>
      <c r="E192" t="s">
        <v>40</v>
      </c>
      <c r="F192" s="3">
        <v>43139</v>
      </c>
      <c r="G192" s="3">
        <v>43334</v>
      </c>
      <c r="H192" t="s">
        <v>724</v>
      </c>
      <c r="I192" t="s">
        <v>33</v>
      </c>
      <c r="N192" s="3"/>
      <c r="O192" t="s">
        <v>725</v>
      </c>
      <c r="Q192" s="3"/>
      <c r="R192" s="3"/>
      <c r="S192" s="3"/>
      <c r="T192" t="s">
        <v>726</v>
      </c>
      <c r="V192" s="3"/>
      <c r="W192" s="3"/>
      <c r="X192" s="3"/>
      <c r="Y192" s="3"/>
      <c r="Z192" s="3"/>
      <c r="AA192" s="3"/>
      <c r="AB192" s="3"/>
    </row>
    <row r="193" spans="1:28" x14ac:dyDescent="0.3">
      <c r="A193" s="2" t="str">
        <f>HYPERLINK("https://www.cadth.ca/travoprost-and-timolol-maleate", "DuoTrav")</f>
        <v>DuoTrav</v>
      </c>
      <c r="B193" t="s">
        <v>727</v>
      </c>
      <c r="C193" t="s">
        <v>581</v>
      </c>
      <c r="D193" t="s">
        <v>46</v>
      </c>
      <c r="E193" t="s">
        <v>40</v>
      </c>
      <c r="F193" s="3">
        <v>38800</v>
      </c>
      <c r="G193" s="3">
        <v>38953</v>
      </c>
      <c r="H193" t="s">
        <v>728</v>
      </c>
      <c r="I193" t="s">
        <v>33</v>
      </c>
      <c r="N193" s="3"/>
      <c r="O193" t="s">
        <v>338</v>
      </c>
      <c r="Q193" s="3"/>
      <c r="R193" s="3"/>
      <c r="S193" s="3"/>
      <c r="T193" t="s">
        <v>36</v>
      </c>
      <c r="V193" s="3"/>
      <c r="W193" s="3"/>
      <c r="X193" s="3"/>
      <c r="Y193" s="3"/>
      <c r="Z193" s="3"/>
      <c r="AA193" s="3"/>
      <c r="AB193" s="3"/>
    </row>
    <row r="194" spans="1:28" x14ac:dyDescent="0.3">
      <c r="A194" s="2" t="str">
        <f>HYPERLINK("https://www.cadth.ca/dupilumab-1", "Dupixent")</f>
        <v>Dupixent</v>
      </c>
      <c r="B194" t="s">
        <v>729</v>
      </c>
      <c r="C194" t="s">
        <v>164</v>
      </c>
      <c r="D194" t="s">
        <v>55</v>
      </c>
      <c r="E194" t="s">
        <v>40</v>
      </c>
      <c r="F194" s="3">
        <v>44161</v>
      </c>
      <c r="G194" s="3">
        <v>44355</v>
      </c>
      <c r="H194" t="s">
        <v>730</v>
      </c>
      <c r="I194" t="s">
        <v>33</v>
      </c>
      <c r="N194" s="3"/>
      <c r="O194" t="s">
        <v>731</v>
      </c>
      <c r="Q194" s="3"/>
      <c r="R194" s="3"/>
      <c r="S194" s="3"/>
      <c r="T194" t="s">
        <v>36</v>
      </c>
      <c r="V194" s="3"/>
      <c r="W194" s="3"/>
      <c r="X194" s="3"/>
      <c r="Y194" s="3"/>
      <c r="Z194" s="3"/>
      <c r="AA194" s="3"/>
      <c r="AB194" s="3"/>
    </row>
    <row r="195" spans="1:28" x14ac:dyDescent="0.3">
      <c r="A195" s="2" t="str">
        <f>HYPERLINK("https://www.cadth.ca/dupilumab-0", "Dupixent")</f>
        <v>Dupixent</v>
      </c>
      <c r="B195" t="s">
        <v>729</v>
      </c>
      <c r="C195" t="s">
        <v>732</v>
      </c>
      <c r="D195" t="s">
        <v>55</v>
      </c>
      <c r="E195" t="s">
        <v>40</v>
      </c>
      <c r="F195" s="3">
        <v>43760</v>
      </c>
      <c r="G195" s="3">
        <v>43943</v>
      </c>
      <c r="H195" t="s">
        <v>733</v>
      </c>
      <c r="I195" t="s">
        <v>33</v>
      </c>
      <c r="N195" s="3"/>
      <c r="O195" t="s">
        <v>731</v>
      </c>
      <c r="Q195" s="3"/>
      <c r="R195" s="3"/>
      <c r="S195" s="3"/>
      <c r="T195" t="s">
        <v>36</v>
      </c>
      <c r="V195" s="3"/>
      <c r="W195" s="3"/>
      <c r="X195" s="3"/>
      <c r="Y195" s="3"/>
      <c r="Z195" s="3"/>
      <c r="AA195" s="3"/>
      <c r="AB195" s="3"/>
    </row>
    <row r="196" spans="1:28" x14ac:dyDescent="0.3">
      <c r="A196" s="2" t="str">
        <f>HYPERLINK("https://www.cadth.ca/dupilumab", "Dupixent")</f>
        <v>Dupixent</v>
      </c>
      <c r="B196" t="s">
        <v>729</v>
      </c>
      <c r="C196" t="s">
        <v>732</v>
      </c>
      <c r="D196" t="s">
        <v>127</v>
      </c>
      <c r="E196" t="s">
        <v>40</v>
      </c>
      <c r="F196" s="3">
        <v>43035</v>
      </c>
      <c r="G196" s="3">
        <v>43278</v>
      </c>
      <c r="H196" t="s">
        <v>734</v>
      </c>
      <c r="I196" t="s">
        <v>33</v>
      </c>
      <c r="N196" s="3"/>
      <c r="O196" t="s">
        <v>735</v>
      </c>
      <c r="Q196" s="3"/>
      <c r="R196" s="3"/>
      <c r="S196" s="3"/>
      <c r="T196" t="s">
        <v>36</v>
      </c>
      <c r="V196" s="3"/>
      <c r="W196" s="3"/>
      <c r="X196" s="3"/>
      <c r="Y196" s="3"/>
      <c r="Z196" s="3"/>
      <c r="AA196" s="3"/>
      <c r="AB196" s="3"/>
    </row>
    <row r="197" spans="1:28" x14ac:dyDescent="0.3">
      <c r="A197" s="2" t="str">
        <f>HYPERLINK("https://www.cadth.ca/dupilumab-2", "Dupixent")</f>
        <v>Dupixent</v>
      </c>
      <c r="B197" t="s">
        <v>729</v>
      </c>
      <c r="C197" t="s">
        <v>736</v>
      </c>
      <c r="E197" t="s">
        <v>737</v>
      </c>
      <c r="F197" s="3"/>
      <c r="G197" s="3"/>
      <c r="H197" t="s">
        <v>738</v>
      </c>
      <c r="I197" t="s">
        <v>33</v>
      </c>
      <c r="N197" s="3"/>
      <c r="O197" t="s">
        <v>731</v>
      </c>
      <c r="Q197" s="3"/>
      <c r="R197" s="3"/>
      <c r="S197" s="3"/>
      <c r="T197" t="s">
        <v>36</v>
      </c>
      <c r="V197" s="3"/>
      <c r="W197" s="3"/>
      <c r="X197" s="3"/>
      <c r="Y197" s="3"/>
      <c r="Z197" s="3"/>
      <c r="AA197" s="3"/>
      <c r="AB197" s="3"/>
    </row>
    <row r="198" spans="1:28" x14ac:dyDescent="0.3">
      <c r="A198" s="2" t="str">
        <f>HYPERLINK("https://www.cadth.ca/azelastine-hcl-and-fluticasone-propionate", "Dymista")</f>
        <v>Dymista</v>
      </c>
      <c r="B198" t="s">
        <v>739</v>
      </c>
      <c r="C198" t="s">
        <v>740</v>
      </c>
      <c r="D198" t="s">
        <v>39</v>
      </c>
      <c r="E198" t="s">
        <v>40</v>
      </c>
      <c r="F198" s="3">
        <v>41982</v>
      </c>
      <c r="G198" s="3">
        <v>42172</v>
      </c>
      <c r="H198" t="s">
        <v>741</v>
      </c>
      <c r="I198" t="s">
        <v>33</v>
      </c>
      <c r="N198" s="3"/>
      <c r="O198" t="s">
        <v>742</v>
      </c>
      <c r="Q198" s="3"/>
      <c r="R198" s="3"/>
      <c r="S198" s="3"/>
      <c r="T198" t="s">
        <v>36</v>
      </c>
      <c r="V198" s="3"/>
      <c r="W198" s="3"/>
      <c r="X198" s="3"/>
      <c r="Y198" s="3"/>
      <c r="Z198" s="3"/>
      <c r="AA198" s="3"/>
      <c r="AB198" s="3"/>
    </row>
    <row r="199" spans="1:28" x14ac:dyDescent="0.3">
      <c r="A199" s="2" t="str">
        <f>HYPERLINK("https://www.cadth.ca/abobotulinumtoxina", "Dysport Therapeutic")</f>
        <v>Dysport Therapeutic</v>
      </c>
      <c r="B199" t="s">
        <v>743</v>
      </c>
      <c r="C199" t="s">
        <v>744</v>
      </c>
      <c r="D199" t="s">
        <v>55</v>
      </c>
      <c r="E199" t="s">
        <v>40</v>
      </c>
      <c r="F199" s="3">
        <v>42766</v>
      </c>
      <c r="G199" s="3">
        <v>42942</v>
      </c>
      <c r="H199" t="s">
        <v>745</v>
      </c>
      <c r="I199" t="s">
        <v>33</v>
      </c>
      <c r="N199" s="3"/>
      <c r="O199" t="s">
        <v>746</v>
      </c>
      <c r="Q199" s="3"/>
      <c r="R199" s="3"/>
      <c r="S199" s="3"/>
      <c r="T199" t="s">
        <v>36</v>
      </c>
      <c r="V199" s="3"/>
      <c r="W199" s="3"/>
      <c r="X199" s="3"/>
      <c r="Y199" s="3"/>
      <c r="Z199" s="3"/>
      <c r="AA199" s="3"/>
      <c r="AB199" s="3"/>
    </row>
    <row r="200" spans="1:28" x14ac:dyDescent="0.3">
      <c r="A200" s="2" t="str">
        <f>HYPERLINK("https://www.cadth.ca/abobotulinumtoxina-1", "Dysport Therapeutic")</f>
        <v>Dysport Therapeutic</v>
      </c>
      <c r="B200" t="s">
        <v>743</v>
      </c>
      <c r="C200" t="s">
        <v>747</v>
      </c>
      <c r="D200" t="s">
        <v>55</v>
      </c>
      <c r="E200" t="s">
        <v>40</v>
      </c>
      <c r="F200" s="3">
        <v>43138</v>
      </c>
      <c r="G200" s="3">
        <v>43335</v>
      </c>
      <c r="H200" t="s">
        <v>748</v>
      </c>
      <c r="I200" t="s">
        <v>33</v>
      </c>
      <c r="N200" s="3"/>
      <c r="O200" t="s">
        <v>510</v>
      </c>
      <c r="Q200" s="3"/>
      <c r="R200" s="3"/>
      <c r="S200" s="3"/>
      <c r="T200" t="s">
        <v>36</v>
      </c>
      <c r="V200" s="3"/>
      <c r="W200" s="3"/>
      <c r="X200" s="3"/>
      <c r="Y200" s="3"/>
      <c r="Z200" s="3"/>
      <c r="AA200" s="3"/>
      <c r="AB200" s="3"/>
    </row>
    <row r="201" spans="1:28" x14ac:dyDescent="0.3">
      <c r="A201" s="2" t="str">
        <f>HYPERLINK("https://www.cadth.ca/abobotulinumtoxina-0", "Dysport Therapeutic")</f>
        <v>Dysport Therapeutic</v>
      </c>
      <c r="B201" t="s">
        <v>743</v>
      </c>
      <c r="C201" t="s">
        <v>749</v>
      </c>
      <c r="D201" t="s">
        <v>55</v>
      </c>
      <c r="E201" t="s">
        <v>40</v>
      </c>
      <c r="F201" s="3">
        <v>42849</v>
      </c>
      <c r="G201" s="3">
        <v>43032</v>
      </c>
      <c r="H201" t="s">
        <v>750</v>
      </c>
      <c r="I201" t="s">
        <v>33</v>
      </c>
      <c r="N201" s="3"/>
      <c r="O201" t="s">
        <v>746</v>
      </c>
      <c r="Q201" s="3"/>
      <c r="R201" s="3"/>
      <c r="S201" s="3"/>
      <c r="T201" t="s">
        <v>36</v>
      </c>
      <c r="V201" s="3"/>
      <c r="W201" s="3"/>
      <c r="X201" s="3"/>
      <c r="Y201" s="3"/>
      <c r="Z201" s="3"/>
      <c r="AA201" s="3"/>
      <c r="AB201" s="3"/>
    </row>
    <row r="202" spans="1:28" x14ac:dyDescent="0.3">
      <c r="A202" s="2" t="str">
        <f>HYPERLINK("https://www.cadth.ca/memantine-hydrochloride", "Ebixa")</f>
        <v>Ebixa</v>
      </c>
      <c r="B202" t="s">
        <v>751</v>
      </c>
      <c r="C202" t="s">
        <v>752</v>
      </c>
      <c r="D202" t="s">
        <v>39</v>
      </c>
      <c r="E202" t="s">
        <v>40</v>
      </c>
      <c r="F202" s="3">
        <v>38342</v>
      </c>
      <c r="G202" s="3">
        <v>38679</v>
      </c>
      <c r="H202" t="s">
        <v>753</v>
      </c>
      <c r="I202" t="s">
        <v>33</v>
      </c>
      <c r="N202" s="3"/>
      <c r="O202" t="s">
        <v>568</v>
      </c>
      <c r="Q202" s="3"/>
      <c r="R202" s="3"/>
      <c r="S202" s="3"/>
      <c r="T202" t="s">
        <v>36</v>
      </c>
      <c r="V202" s="3"/>
      <c r="W202" s="3"/>
      <c r="X202" s="3"/>
      <c r="Y202" s="3"/>
      <c r="Z202" s="3"/>
      <c r="AA202" s="3"/>
      <c r="AB202" s="3"/>
    </row>
    <row r="203" spans="1:28" x14ac:dyDescent="0.3">
      <c r="A203" s="2" t="str">
        <f>HYPERLINK("https://www.cadth.ca/azilsartan-medoxomil", "Edarbi")</f>
        <v>Edarbi</v>
      </c>
      <c r="B203" t="s">
        <v>754</v>
      </c>
      <c r="C203" t="s">
        <v>231</v>
      </c>
      <c r="D203" t="s">
        <v>228</v>
      </c>
      <c r="E203" t="s">
        <v>40</v>
      </c>
      <c r="F203" s="3">
        <v>41341</v>
      </c>
      <c r="G203" s="3">
        <v>41564</v>
      </c>
      <c r="H203" t="s">
        <v>755</v>
      </c>
      <c r="I203" t="s">
        <v>33</v>
      </c>
      <c r="N203" s="3"/>
      <c r="O203" t="s">
        <v>243</v>
      </c>
      <c r="Q203" s="3"/>
      <c r="R203" s="3"/>
      <c r="S203" s="3"/>
      <c r="T203" t="s">
        <v>36</v>
      </c>
      <c r="V203" s="3"/>
      <c r="W203" s="3"/>
      <c r="X203" s="3"/>
      <c r="Y203" s="3"/>
      <c r="Z203" s="3"/>
      <c r="AA203" s="3"/>
      <c r="AB203" s="3"/>
    </row>
    <row r="204" spans="1:28" x14ac:dyDescent="0.3">
      <c r="A204" s="2" t="str">
        <f>HYPERLINK("https://www.cadth.ca/azilsartan-medoxomil-chlorthalidone", "Edarbyclor")</f>
        <v>Edarbyclor</v>
      </c>
      <c r="B204" t="s">
        <v>756</v>
      </c>
      <c r="C204" t="s">
        <v>231</v>
      </c>
      <c r="D204" t="s">
        <v>39</v>
      </c>
      <c r="E204" t="s">
        <v>40</v>
      </c>
      <c r="F204" s="3">
        <v>41341</v>
      </c>
      <c r="G204" s="3">
        <v>41564</v>
      </c>
      <c r="H204" t="s">
        <v>757</v>
      </c>
      <c r="I204" t="s">
        <v>33</v>
      </c>
      <c r="N204" s="3"/>
      <c r="O204" t="s">
        <v>243</v>
      </c>
      <c r="Q204" s="3"/>
      <c r="R204" s="3"/>
      <c r="S204" s="3"/>
      <c r="T204" t="s">
        <v>36</v>
      </c>
      <c r="V204" s="3"/>
      <c r="W204" s="3"/>
      <c r="X204" s="3"/>
      <c r="Y204" s="3"/>
      <c r="Z204" s="3"/>
      <c r="AA204" s="3"/>
      <c r="AB204" s="3"/>
    </row>
    <row r="205" spans="1:28" x14ac:dyDescent="0.3">
      <c r="A205" s="2" t="str">
        <f>HYPERLINK("https://www.cadth.ca/rilpivirine", "Edurant")</f>
        <v>Edurant</v>
      </c>
      <c r="B205" t="s">
        <v>758</v>
      </c>
      <c r="C205" t="s">
        <v>273</v>
      </c>
      <c r="D205" t="s">
        <v>160</v>
      </c>
      <c r="E205" t="s">
        <v>40</v>
      </c>
      <c r="F205" s="3">
        <v>40753</v>
      </c>
      <c r="G205" s="3">
        <v>40954</v>
      </c>
      <c r="H205" t="s">
        <v>759</v>
      </c>
      <c r="I205" t="s">
        <v>33</v>
      </c>
      <c r="N205" s="3"/>
      <c r="O205" t="s">
        <v>665</v>
      </c>
      <c r="Q205" s="3"/>
      <c r="R205" s="3"/>
      <c r="S205" s="3"/>
      <c r="T205" t="s">
        <v>36</v>
      </c>
      <c r="V205" s="3"/>
      <c r="W205" s="3"/>
      <c r="X205" s="3"/>
      <c r="Y205" s="3"/>
      <c r="Z205" s="3"/>
      <c r="AA205" s="3"/>
      <c r="AB205" s="3"/>
    </row>
    <row r="206" spans="1:28" x14ac:dyDescent="0.3">
      <c r="A206" s="2" t="str">
        <f>HYPERLINK("https://www.cadth.ca/prasugrel", "Effient")</f>
        <v>Effient</v>
      </c>
      <c r="B206" t="s">
        <v>760</v>
      </c>
      <c r="C206" t="s">
        <v>761</v>
      </c>
      <c r="D206" t="s">
        <v>39</v>
      </c>
      <c r="E206" t="s">
        <v>40</v>
      </c>
      <c r="F206" s="3">
        <v>40889</v>
      </c>
      <c r="G206" s="3">
        <v>41074</v>
      </c>
      <c r="H206" t="s">
        <v>762</v>
      </c>
      <c r="I206" t="s">
        <v>33</v>
      </c>
      <c r="N206" s="3"/>
      <c r="O206" t="s">
        <v>763</v>
      </c>
      <c r="Q206" s="3"/>
      <c r="R206" s="3"/>
      <c r="S206" s="3"/>
      <c r="T206" t="s">
        <v>142</v>
      </c>
      <c r="V206" s="3"/>
      <c r="W206" s="3"/>
      <c r="X206" s="3"/>
      <c r="Y206" s="3"/>
      <c r="Z206" s="3"/>
      <c r="AA206" s="3"/>
      <c r="AB206" s="3"/>
    </row>
    <row r="207" spans="1:28" x14ac:dyDescent="0.3">
      <c r="A207" s="2" t="str">
        <f>HYPERLINK("https://www.cadth.ca/prasugrel-hydrochloride", "Effient")</f>
        <v>Effient</v>
      </c>
      <c r="B207" t="s">
        <v>764</v>
      </c>
      <c r="C207" t="s">
        <v>765</v>
      </c>
      <c r="D207" t="s">
        <v>39</v>
      </c>
      <c r="E207" t="s">
        <v>40</v>
      </c>
      <c r="F207" s="3">
        <v>40303</v>
      </c>
      <c r="G207" s="3">
        <v>40590</v>
      </c>
      <c r="H207" t="s">
        <v>766</v>
      </c>
      <c r="I207" t="s">
        <v>33</v>
      </c>
      <c r="N207" s="3"/>
      <c r="O207" t="s">
        <v>133</v>
      </c>
      <c r="Q207" s="3"/>
      <c r="R207" s="3"/>
      <c r="S207" s="3"/>
      <c r="T207" t="s">
        <v>36</v>
      </c>
      <c r="V207" s="3"/>
      <c r="W207" s="3"/>
      <c r="X207" s="3"/>
      <c r="Y207" s="3"/>
      <c r="Z207" s="3"/>
      <c r="AA207" s="3"/>
      <c r="AB207" s="3"/>
    </row>
    <row r="208" spans="1:28" x14ac:dyDescent="0.3">
      <c r="A208" s="2" t="str">
        <f>HYPERLINK("https://www.cadth.ca/tesamorelin", "Egrifta")</f>
        <v>Egrifta</v>
      </c>
      <c r="B208" t="s">
        <v>767</v>
      </c>
      <c r="C208" t="s">
        <v>768</v>
      </c>
      <c r="D208" t="s">
        <v>127</v>
      </c>
      <c r="E208" t="s">
        <v>40</v>
      </c>
      <c r="F208" s="3">
        <v>42431</v>
      </c>
      <c r="G208" s="3">
        <v>42606</v>
      </c>
      <c r="H208" t="s">
        <v>769</v>
      </c>
      <c r="I208" t="s">
        <v>33</v>
      </c>
      <c r="N208" s="3"/>
      <c r="O208" t="s">
        <v>770</v>
      </c>
      <c r="Q208" s="3"/>
      <c r="R208" s="3"/>
      <c r="S208" s="3"/>
      <c r="T208" t="s">
        <v>36</v>
      </c>
      <c r="V208" s="3"/>
      <c r="W208" s="3"/>
      <c r="X208" s="3"/>
      <c r="Y208" s="3"/>
      <c r="Z208" s="3"/>
      <c r="AA208" s="3"/>
      <c r="AB208" s="3"/>
    </row>
    <row r="209" spans="1:28" x14ac:dyDescent="0.3">
      <c r="A209" s="2" t="str">
        <f>HYPERLINK("https://www.cadth.ca/idursulfase", "Elaprase")</f>
        <v>Elaprase</v>
      </c>
      <c r="B209" t="s">
        <v>771</v>
      </c>
      <c r="C209" t="s">
        <v>772</v>
      </c>
      <c r="D209" t="s">
        <v>39</v>
      </c>
      <c r="E209" t="s">
        <v>40</v>
      </c>
      <c r="F209" s="3">
        <v>39276</v>
      </c>
      <c r="G209" s="3">
        <v>39435</v>
      </c>
      <c r="H209" t="s">
        <v>773</v>
      </c>
      <c r="I209" t="s">
        <v>33</v>
      </c>
      <c r="N209" s="3"/>
      <c r="O209" t="s">
        <v>774</v>
      </c>
      <c r="Q209" s="3"/>
      <c r="R209" s="3"/>
      <c r="S209" s="3"/>
      <c r="T209" t="s">
        <v>36</v>
      </c>
      <c r="V209" s="3"/>
      <c r="W209" s="3"/>
      <c r="X209" s="3"/>
      <c r="Y209" s="3"/>
      <c r="Z209" s="3"/>
      <c r="AA209" s="3"/>
      <c r="AB209" s="3"/>
    </row>
    <row r="210" spans="1:28" x14ac:dyDescent="0.3">
      <c r="A210" s="2" t="str">
        <f>HYPERLINK("https://www.cadth.ca/taliglucerase-alfa", "Elelyso")</f>
        <v>Elelyso</v>
      </c>
      <c r="B210" t="s">
        <v>775</v>
      </c>
      <c r="C210" t="s">
        <v>545</v>
      </c>
      <c r="D210" t="s">
        <v>39</v>
      </c>
      <c r="E210" t="s">
        <v>40</v>
      </c>
      <c r="F210" s="3">
        <v>41866</v>
      </c>
      <c r="G210" s="3">
        <v>42305</v>
      </c>
      <c r="H210" t="s">
        <v>776</v>
      </c>
      <c r="I210" t="s">
        <v>33</v>
      </c>
      <c r="N210" s="3"/>
      <c r="O210" t="s">
        <v>387</v>
      </c>
      <c r="Q210" s="3"/>
      <c r="R210" s="3"/>
      <c r="S210" s="3"/>
      <c r="T210" t="s">
        <v>36</v>
      </c>
      <c r="V210" s="3"/>
      <c r="W210" s="3"/>
      <c r="X210" s="3"/>
      <c r="Y210" s="3"/>
      <c r="Z210" s="3"/>
      <c r="AA210" s="3"/>
      <c r="AB210" s="3"/>
    </row>
    <row r="211" spans="1:28" x14ac:dyDescent="0.3">
      <c r="A211" s="2" t="str">
        <f>HYPERLINK("https://www.cadth.ca/apixaban-1", "Eliquis")</f>
        <v>Eliquis</v>
      </c>
      <c r="B211" t="s">
        <v>777</v>
      </c>
      <c r="C211" t="s">
        <v>778</v>
      </c>
      <c r="D211" t="s">
        <v>46</v>
      </c>
      <c r="E211" t="s">
        <v>40</v>
      </c>
      <c r="F211" s="3">
        <v>41900</v>
      </c>
      <c r="G211" s="3">
        <v>42131</v>
      </c>
      <c r="H211" t="s">
        <v>779</v>
      </c>
      <c r="I211" t="s">
        <v>33</v>
      </c>
      <c r="N211" s="3"/>
      <c r="O211" t="s">
        <v>780</v>
      </c>
      <c r="Q211" s="3"/>
      <c r="R211" s="3"/>
      <c r="S211" s="3"/>
      <c r="T211" t="s">
        <v>36</v>
      </c>
      <c r="V211" s="3"/>
      <c r="W211" s="3"/>
      <c r="X211" s="3"/>
      <c r="Y211" s="3"/>
      <c r="Z211" s="3"/>
      <c r="AA211" s="3"/>
      <c r="AB211" s="3"/>
    </row>
    <row r="212" spans="1:28" x14ac:dyDescent="0.3">
      <c r="A212" s="2" t="str">
        <f>HYPERLINK("https://www.cadth.ca/apixaban-0", "Eliquis")</f>
        <v>Eliquis</v>
      </c>
      <c r="B212" t="s">
        <v>777</v>
      </c>
      <c r="C212" t="s">
        <v>781</v>
      </c>
      <c r="D212" t="s">
        <v>46</v>
      </c>
      <c r="E212" t="s">
        <v>40</v>
      </c>
      <c r="F212" s="3">
        <v>41177</v>
      </c>
      <c r="G212" s="3">
        <v>41353</v>
      </c>
      <c r="H212" t="s">
        <v>782</v>
      </c>
      <c r="I212" t="s">
        <v>33</v>
      </c>
      <c r="N212" s="3"/>
      <c r="O212" t="s">
        <v>780</v>
      </c>
      <c r="Q212" s="3"/>
      <c r="R212" s="3"/>
      <c r="S212" s="3"/>
      <c r="T212" t="s">
        <v>36</v>
      </c>
      <c r="V212" s="3"/>
      <c r="W212" s="3"/>
      <c r="X212" s="3"/>
      <c r="Y212" s="3"/>
      <c r="Z212" s="3"/>
      <c r="AA212" s="3"/>
      <c r="AB212" s="3"/>
    </row>
    <row r="213" spans="1:28" x14ac:dyDescent="0.3">
      <c r="A213" s="2" t="str">
        <f>HYPERLINK("https://www.cadth.ca/apixaban", "Eliquis")</f>
        <v>Eliquis</v>
      </c>
      <c r="B213" t="s">
        <v>777</v>
      </c>
      <c r="C213" t="s">
        <v>783</v>
      </c>
      <c r="D213" t="s">
        <v>46</v>
      </c>
      <c r="E213" t="s">
        <v>40</v>
      </c>
      <c r="F213" s="3">
        <v>40897</v>
      </c>
      <c r="G213" s="3">
        <v>41074</v>
      </c>
      <c r="H213" t="s">
        <v>784</v>
      </c>
      <c r="I213" t="s">
        <v>33</v>
      </c>
      <c r="N213" s="3"/>
      <c r="O213" t="s">
        <v>785</v>
      </c>
      <c r="Q213" s="3"/>
      <c r="R213" s="3"/>
      <c r="S213" s="3"/>
      <c r="T213" t="s">
        <v>36</v>
      </c>
      <c r="V213" s="3"/>
      <c r="W213" s="3"/>
      <c r="X213" s="3"/>
      <c r="Y213" s="3"/>
      <c r="Z213" s="3"/>
      <c r="AA213" s="3"/>
      <c r="AB213" s="3"/>
    </row>
    <row r="214" spans="1:28" x14ac:dyDescent="0.3">
      <c r="A214" s="2" t="str">
        <f>HYPERLINK("https://www.cadth.ca/aprepitant", "Emend")</f>
        <v>Emend</v>
      </c>
      <c r="B214" t="s">
        <v>786</v>
      </c>
      <c r="C214" t="s">
        <v>787</v>
      </c>
      <c r="D214" t="s">
        <v>46</v>
      </c>
      <c r="E214" t="s">
        <v>40</v>
      </c>
      <c r="F214" s="3">
        <v>39323</v>
      </c>
      <c r="G214" s="3">
        <v>39498</v>
      </c>
      <c r="H214" t="s">
        <v>788</v>
      </c>
      <c r="I214" t="s">
        <v>33</v>
      </c>
      <c r="N214" s="3"/>
      <c r="O214" t="s">
        <v>789</v>
      </c>
      <c r="Q214" s="3"/>
      <c r="R214" s="3"/>
      <c r="S214" s="3"/>
      <c r="T214" t="s">
        <v>36</v>
      </c>
      <c r="V214" s="3"/>
      <c r="W214" s="3"/>
      <c r="X214" s="3"/>
      <c r="Y214" s="3"/>
      <c r="Z214" s="3"/>
      <c r="AA214" s="3"/>
      <c r="AB214" s="3"/>
    </row>
    <row r="215" spans="1:28" x14ac:dyDescent="0.3">
      <c r="A215" s="2" t="str">
        <f>HYPERLINK("https://www.cadth.ca/galcanezumab-0", "Emgality")</f>
        <v>Emgality</v>
      </c>
      <c r="B215" t="s">
        <v>790</v>
      </c>
      <c r="C215" t="s">
        <v>791</v>
      </c>
      <c r="D215" t="s">
        <v>577</v>
      </c>
      <c r="E215" t="s">
        <v>578</v>
      </c>
      <c r="F215" s="3"/>
      <c r="G215" s="3"/>
      <c r="H215" t="s">
        <v>391</v>
      </c>
      <c r="I215" t="s">
        <v>33</v>
      </c>
      <c r="N215" s="3"/>
      <c r="O215" t="s">
        <v>133</v>
      </c>
      <c r="Q215" s="3"/>
      <c r="R215" s="3"/>
      <c r="S215" s="3"/>
      <c r="T215" t="s">
        <v>579</v>
      </c>
      <c r="V215" s="3"/>
      <c r="W215" s="3"/>
      <c r="X215" s="3"/>
      <c r="Y215" s="3"/>
      <c r="Z215" s="3"/>
      <c r="AA215" s="3"/>
      <c r="AB215" s="3"/>
    </row>
    <row r="216" spans="1:28" x14ac:dyDescent="0.3">
      <c r="A216" s="2" t="str">
        <f>HYPERLINK("https://www.cadth.ca/galcanezumab", "Emgality")</f>
        <v>Emgality</v>
      </c>
      <c r="B216" t="s">
        <v>790</v>
      </c>
      <c r="C216" t="s">
        <v>792</v>
      </c>
      <c r="E216" t="s">
        <v>31</v>
      </c>
      <c r="F216" s="3">
        <v>44350</v>
      </c>
      <c r="G216" s="3"/>
      <c r="H216" t="s">
        <v>793</v>
      </c>
      <c r="I216" t="s">
        <v>33</v>
      </c>
      <c r="N216" s="3"/>
      <c r="O216" t="s">
        <v>794</v>
      </c>
      <c r="Q216" s="3"/>
      <c r="R216" s="3"/>
      <c r="S216" s="3"/>
      <c r="T216" t="s">
        <v>36</v>
      </c>
      <c r="V216" s="3"/>
      <c r="W216" s="3"/>
      <c r="X216" s="3"/>
      <c r="Y216" s="3"/>
      <c r="Z216" s="3"/>
      <c r="AA216" s="3"/>
      <c r="AB216" s="3"/>
    </row>
    <row r="217" spans="1:28" x14ac:dyDescent="0.3">
      <c r="A217" s="2" t="str">
        <f>HYPERLINK("https://www.cadth.ca/darifenacin-hydrobromide-0", "Enablex")</f>
        <v>Enablex</v>
      </c>
      <c r="B217" t="s">
        <v>795</v>
      </c>
      <c r="C217" t="s">
        <v>796</v>
      </c>
      <c r="D217" t="s">
        <v>46</v>
      </c>
      <c r="E217" t="s">
        <v>40</v>
      </c>
      <c r="F217" s="3">
        <v>39722</v>
      </c>
      <c r="G217" s="3">
        <v>39919</v>
      </c>
      <c r="H217" t="s">
        <v>797</v>
      </c>
      <c r="I217" t="s">
        <v>33</v>
      </c>
      <c r="N217" s="3"/>
      <c r="O217" t="s">
        <v>71</v>
      </c>
      <c r="Q217" s="3"/>
      <c r="R217" s="3"/>
      <c r="S217" s="3"/>
      <c r="T217" t="s">
        <v>142</v>
      </c>
      <c r="V217" s="3"/>
      <c r="W217" s="3"/>
      <c r="X217" s="3"/>
      <c r="Y217" s="3"/>
      <c r="Z217" s="3"/>
      <c r="AA217" s="3"/>
      <c r="AB217" s="3"/>
    </row>
    <row r="218" spans="1:28" x14ac:dyDescent="0.3">
      <c r="A218" s="2" t="str">
        <f>HYPERLINK("https://www.cadth.ca/darifenacin-hydrobromide", "Enablex")</f>
        <v>Enablex</v>
      </c>
      <c r="B218" t="s">
        <v>795</v>
      </c>
      <c r="C218" t="s">
        <v>796</v>
      </c>
      <c r="D218" t="s">
        <v>39</v>
      </c>
      <c r="E218" t="s">
        <v>40</v>
      </c>
      <c r="F218" s="3">
        <v>38833</v>
      </c>
      <c r="G218" s="3">
        <v>39009</v>
      </c>
      <c r="H218" t="s">
        <v>798</v>
      </c>
      <c r="I218" t="s">
        <v>33</v>
      </c>
      <c r="N218" s="3"/>
      <c r="O218" t="s">
        <v>71</v>
      </c>
      <c r="Q218" s="3"/>
      <c r="R218" s="3"/>
      <c r="S218" s="3"/>
      <c r="T218" t="s">
        <v>36</v>
      </c>
      <c r="V218" s="3"/>
      <c r="W218" s="3"/>
      <c r="X218" s="3"/>
      <c r="Y218" s="3"/>
      <c r="Z218" s="3"/>
      <c r="AA218" s="3"/>
      <c r="AB218" s="3"/>
    </row>
    <row r="219" spans="1:28" x14ac:dyDescent="0.3">
      <c r="A219" s="2" t="str">
        <f>HYPERLINK("https://www.cadth.ca/indacaterol-glycopyrronium-mometasone-furoate", "Enerzair Breezhaler")</f>
        <v>Enerzair Breezhaler</v>
      </c>
      <c r="B219" t="s">
        <v>799</v>
      </c>
      <c r="C219" t="s">
        <v>800</v>
      </c>
      <c r="D219" t="s">
        <v>55</v>
      </c>
      <c r="E219" t="s">
        <v>40</v>
      </c>
      <c r="F219" s="3">
        <v>43970</v>
      </c>
      <c r="G219" s="3">
        <v>44159</v>
      </c>
      <c r="H219" t="s">
        <v>801</v>
      </c>
      <c r="I219" t="s">
        <v>33</v>
      </c>
      <c r="N219" s="3"/>
      <c r="O219" t="s">
        <v>71</v>
      </c>
      <c r="Q219" s="3"/>
      <c r="R219" s="3"/>
      <c r="S219" s="3"/>
      <c r="T219" t="s">
        <v>36</v>
      </c>
      <c r="V219" s="3"/>
      <c r="W219" s="3"/>
      <c r="X219" s="3"/>
      <c r="Y219" s="3"/>
      <c r="Z219" s="3"/>
      <c r="AA219" s="3"/>
      <c r="AB219" s="3"/>
    </row>
    <row r="220" spans="1:28" x14ac:dyDescent="0.3">
      <c r="A220" s="2" t="str">
        <f>HYPERLINK("https://www.cadth.ca/satralizumab", "Enspryng")</f>
        <v>Enspryng</v>
      </c>
      <c r="B220" t="s">
        <v>802</v>
      </c>
      <c r="C220" t="s">
        <v>803</v>
      </c>
      <c r="D220" t="s">
        <v>55</v>
      </c>
      <c r="E220" t="s">
        <v>40</v>
      </c>
      <c r="F220" s="3">
        <v>44126</v>
      </c>
      <c r="G220" s="3">
        <v>44307</v>
      </c>
      <c r="H220" t="s">
        <v>804</v>
      </c>
      <c r="I220" t="s">
        <v>33</v>
      </c>
      <c r="N220" s="3"/>
      <c r="O220" t="s">
        <v>80</v>
      </c>
      <c r="Q220" s="3"/>
      <c r="R220" s="3"/>
      <c r="S220" s="3"/>
      <c r="T220" t="s">
        <v>36</v>
      </c>
      <c r="V220" s="3"/>
      <c r="W220" s="3"/>
      <c r="X220" s="3"/>
      <c r="Y220" s="3"/>
      <c r="Z220" s="3"/>
      <c r="AA220" s="3"/>
      <c r="AB220" s="3"/>
    </row>
    <row r="221" spans="1:28" x14ac:dyDescent="0.3">
      <c r="A221" s="2" t="str">
        <f>HYPERLINK("https://www.cadth.ca/sacubitrilvalsartan", "Entresto")</f>
        <v>Entresto</v>
      </c>
      <c r="B221" t="s">
        <v>805</v>
      </c>
      <c r="C221" t="s">
        <v>806</v>
      </c>
      <c r="D221" t="s">
        <v>46</v>
      </c>
      <c r="E221" t="s">
        <v>40</v>
      </c>
      <c r="F221" s="3">
        <v>42265</v>
      </c>
      <c r="G221" s="3">
        <v>42447</v>
      </c>
      <c r="H221" t="s">
        <v>807</v>
      </c>
      <c r="I221" t="s">
        <v>33</v>
      </c>
      <c r="N221" s="3"/>
      <c r="O221" t="s">
        <v>71</v>
      </c>
      <c r="Q221" s="3"/>
      <c r="R221" s="3"/>
      <c r="S221" s="3"/>
      <c r="T221" t="s">
        <v>36</v>
      </c>
      <c r="V221" s="3"/>
      <c r="W221" s="3"/>
      <c r="X221" s="3"/>
      <c r="Y221" s="3"/>
      <c r="Z221" s="3"/>
      <c r="AA221" s="3"/>
      <c r="AB221" s="3"/>
    </row>
    <row r="222" spans="1:28" x14ac:dyDescent="0.3">
      <c r="A222" s="2" t="str">
        <f>HYPERLINK("https://www.cadth.ca/sacubitrilvalsartan-0", "Entresto")</f>
        <v>Entresto</v>
      </c>
      <c r="B222" t="s">
        <v>808</v>
      </c>
      <c r="C222" t="s">
        <v>809</v>
      </c>
      <c r="D222" t="s">
        <v>55</v>
      </c>
      <c r="E222" t="s">
        <v>31</v>
      </c>
      <c r="F222" s="3">
        <v>43973</v>
      </c>
      <c r="G222" s="3">
        <v>44279</v>
      </c>
      <c r="H222" t="s">
        <v>810</v>
      </c>
      <c r="I222" t="s">
        <v>33</v>
      </c>
      <c r="N222" s="3"/>
      <c r="O222" t="s">
        <v>811</v>
      </c>
      <c r="Q222" s="3"/>
      <c r="R222" s="3"/>
      <c r="S222" s="3"/>
      <c r="V222" s="3"/>
      <c r="W222" s="3"/>
      <c r="X222" s="3"/>
      <c r="Y222" s="3"/>
      <c r="Z222" s="3"/>
      <c r="AA222" s="3"/>
      <c r="AB222" s="3"/>
    </row>
    <row r="223" spans="1:28" x14ac:dyDescent="0.3">
      <c r="A223" s="2" t="str">
        <f>HYPERLINK("https://www.cadth.ca/human-insulin", "Entuzity KwikPen")</f>
        <v>Entuzity KwikPen</v>
      </c>
      <c r="B223" t="s">
        <v>812</v>
      </c>
      <c r="C223" t="s">
        <v>813</v>
      </c>
      <c r="D223" t="s">
        <v>55</v>
      </c>
      <c r="E223" t="s">
        <v>40</v>
      </c>
      <c r="F223" s="3">
        <v>44223</v>
      </c>
      <c r="G223" s="3">
        <v>44431</v>
      </c>
      <c r="H223" t="s">
        <v>814</v>
      </c>
      <c r="I223" t="s">
        <v>33</v>
      </c>
      <c r="N223" s="3"/>
      <c r="O223" t="s">
        <v>133</v>
      </c>
      <c r="Q223" s="3"/>
      <c r="R223" s="3"/>
      <c r="S223" s="3"/>
      <c r="T223" t="s">
        <v>36</v>
      </c>
      <c r="V223" s="3"/>
      <c r="W223" s="3"/>
      <c r="X223" s="3"/>
      <c r="Y223" s="3"/>
      <c r="Z223" s="3"/>
      <c r="AA223" s="3"/>
      <c r="AB223" s="3"/>
    </row>
    <row r="224" spans="1:28" x14ac:dyDescent="0.3">
      <c r="A224" s="2" t="str">
        <f>HYPERLINK("https://www.cadth.ca/vedolizumab-0", "Entyvio")</f>
        <v>Entyvio</v>
      </c>
      <c r="B224" t="s">
        <v>815</v>
      </c>
      <c r="C224" t="s">
        <v>816</v>
      </c>
      <c r="D224" t="s">
        <v>55</v>
      </c>
      <c r="E224" t="s">
        <v>40</v>
      </c>
      <c r="F224" s="3">
        <v>42487</v>
      </c>
      <c r="G224" s="3">
        <v>42674</v>
      </c>
      <c r="H224" t="s">
        <v>817</v>
      </c>
      <c r="I224" t="s">
        <v>33</v>
      </c>
      <c r="N224" s="3"/>
      <c r="O224" t="s">
        <v>243</v>
      </c>
      <c r="Q224" s="3"/>
      <c r="R224" s="3"/>
      <c r="S224" s="3"/>
      <c r="T224" t="s">
        <v>36</v>
      </c>
      <c r="V224" s="3"/>
      <c r="W224" s="3"/>
      <c r="X224" s="3"/>
      <c r="Y224" s="3"/>
      <c r="Z224" s="3"/>
      <c r="AA224" s="3"/>
      <c r="AB224" s="3"/>
    </row>
    <row r="225" spans="1:29" x14ac:dyDescent="0.3">
      <c r="A225" s="2" t="str">
        <f>HYPERLINK("https://www.cadth.ca/vedolizumab-1", "Entyvio")</f>
        <v>Entyvio</v>
      </c>
      <c r="B225" t="s">
        <v>818</v>
      </c>
      <c r="C225" t="s">
        <v>599</v>
      </c>
      <c r="D225" t="s">
        <v>55</v>
      </c>
      <c r="E225" t="s">
        <v>40</v>
      </c>
      <c r="F225" s="3">
        <v>43790</v>
      </c>
      <c r="G225" s="3">
        <v>43970</v>
      </c>
      <c r="H225" t="s">
        <v>819</v>
      </c>
      <c r="I225" t="s">
        <v>33</v>
      </c>
      <c r="N225" s="3"/>
      <c r="O225" t="s">
        <v>243</v>
      </c>
      <c r="Q225" s="3"/>
      <c r="R225" s="3"/>
      <c r="S225" s="3"/>
      <c r="T225" t="s">
        <v>36</v>
      </c>
      <c r="V225" s="3"/>
      <c r="W225" s="3"/>
      <c r="X225" s="3"/>
      <c r="Y225" s="3"/>
      <c r="Z225" s="3"/>
      <c r="AA225" s="3"/>
      <c r="AB225" s="3"/>
    </row>
    <row r="226" spans="1:29" x14ac:dyDescent="0.3">
      <c r="A226" s="2" t="str">
        <f>HYPERLINK("https://www.cadth.ca/vedolizumab-2", "Entyvio")</f>
        <v>Entyvio</v>
      </c>
      <c r="B226" t="s">
        <v>818</v>
      </c>
      <c r="C226" t="s">
        <v>820</v>
      </c>
      <c r="D226" t="s">
        <v>55</v>
      </c>
      <c r="E226" t="s">
        <v>40</v>
      </c>
      <c r="F226" s="3">
        <v>44035</v>
      </c>
      <c r="G226" s="3">
        <v>44217</v>
      </c>
      <c r="H226" t="s">
        <v>821</v>
      </c>
      <c r="I226" t="s">
        <v>33</v>
      </c>
      <c r="N226" s="3"/>
      <c r="O226" t="s">
        <v>243</v>
      </c>
      <c r="Q226" s="3"/>
      <c r="R226" s="3"/>
      <c r="S226" s="3"/>
      <c r="T226" t="s">
        <v>36</v>
      </c>
      <c r="V226" s="3"/>
      <c r="W226" s="3"/>
      <c r="X226" s="3"/>
      <c r="Y226" s="3"/>
      <c r="Z226" s="3"/>
      <c r="AA226" s="3"/>
      <c r="AB226" s="3"/>
    </row>
    <row r="227" spans="1:29" x14ac:dyDescent="0.3">
      <c r="A227" s="2" t="str">
        <f>HYPERLINK("https://www.cadth.ca/vedolizumab", "Entyvio")</f>
        <v>Entyvio</v>
      </c>
      <c r="B227" t="s">
        <v>815</v>
      </c>
      <c r="C227" t="s">
        <v>822</v>
      </c>
      <c r="D227" t="s">
        <v>46</v>
      </c>
      <c r="E227" t="s">
        <v>40</v>
      </c>
      <c r="F227" s="3">
        <v>42055</v>
      </c>
      <c r="G227" s="3">
        <v>42305</v>
      </c>
      <c r="H227" t="s">
        <v>823</v>
      </c>
      <c r="I227" t="s">
        <v>33</v>
      </c>
      <c r="N227" s="3"/>
      <c r="O227" t="s">
        <v>243</v>
      </c>
      <c r="Q227" s="3"/>
      <c r="R227" s="3"/>
      <c r="S227" s="3"/>
      <c r="T227" t="s">
        <v>36</v>
      </c>
      <c r="V227" s="3"/>
      <c r="W227" s="3"/>
      <c r="X227" s="3"/>
      <c r="Y227" s="3"/>
      <c r="Z227" s="3"/>
      <c r="AA227" s="3"/>
      <c r="AB227" s="3"/>
    </row>
    <row r="228" spans="1:29" x14ac:dyDescent="0.3">
      <c r="A228" s="2" t="str">
        <f>HYPERLINK("https://www.cadth.ca/sofosbuvir-velpatasvir", "Epclusa")</f>
        <v>Epclusa</v>
      </c>
      <c r="B228" t="s">
        <v>824</v>
      </c>
      <c r="C228" t="s">
        <v>825</v>
      </c>
      <c r="D228" t="s">
        <v>55</v>
      </c>
      <c r="E228" t="s">
        <v>40</v>
      </c>
      <c r="F228" s="3">
        <v>42482</v>
      </c>
      <c r="G228" s="3">
        <v>42669</v>
      </c>
      <c r="H228" t="s">
        <v>826</v>
      </c>
      <c r="I228" t="s">
        <v>33</v>
      </c>
      <c r="N228" s="3"/>
      <c r="O228" t="s">
        <v>396</v>
      </c>
      <c r="Q228" s="3"/>
      <c r="R228" s="3"/>
      <c r="S228" s="3"/>
      <c r="T228" t="s">
        <v>36</v>
      </c>
      <c r="V228" s="3"/>
      <c r="W228" s="3"/>
      <c r="X228" s="3"/>
      <c r="Y228" s="3"/>
      <c r="Z228" s="3"/>
      <c r="AA228" s="3"/>
      <c r="AB228" s="3"/>
    </row>
    <row r="229" spans="1:29" x14ac:dyDescent="0.3">
      <c r="A229" s="2" t="str">
        <f>HYPERLINK("https://www.cadth.ca/node/79651", "Erbitux")</f>
        <v>Erbitux</v>
      </c>
      <c r="B229" t="s">
        <v>827</v>
      </c>
      <c r="C229" t="s">
        <v>324</v>
      </c>
      <c r="D229" t="s">
        <v>127</v>
      </c>
      <c r="E229" t="s">
        <v>40</v>
      </c>
      <c r="F229" s="3">
        <v>41435</v>
      </c>
      <c r="G229" s="3">
        <v>41649</v>
      </c>
      <c r="H229" t="s">
        <v>828</v>
      </c>
      <c r="I229" t="s">
        <v>33</v>
      </c>
      <c r="J229" t="s">
        <v>829</v>
      </c>
      <c r="K229" t="s">
        <v>58</v>
      </c>
      <c r="L229" t="s">
        <v>830</v>
      </c>
      <c r="N229" s="3">
        <v>41263</v>
      </c>
      <c r="O229" t="s">
        <v>42</v>
      </c>
      <c r="P229" t="s">
        <v>430</v>
      </c>
      <c r="Q229" s="3"/>
      <c r="R229" s="3"/>
      <c r="S229" s="3">
        <v>41446</v>
      </c>
      <c r="U229" t="s">
        <v>62</v>
      </c>
      <c r="V229" s="3">
        <v>41449</v>
      </c>
      <c r="W229" s="3">
        <v>41513</v>
      </c>
      <c r="X229" s="3">
        <v>41564</v>
      </c>
      <c r="Y229" s="3">
        <v>41578</v>
      </c>
      <c r="Z229" s="3">
        <v>41593</v>
      </c>
      <c r="AA229" s="3"/>
      <c r="AB229" s="3">
        <v>41666</v>
      </c>
      <c r="AC229" t="s">
        <v>831</v>
      </c>
    </row>
    <row r="230" spans="1:29" x14ac:dyDescent="0.3">
      <c r="A230" s="2" t="str">
        <f>HYPERLINK("https://www.cadth.ca/node/106673", "Erbitux")</f>
        <v>Erbitux</v>
      </c>
      <c r="B230" t="s">
        <v>827</v>
      </c>
      <c r="E230" t="s">
        <v>154</v>
      </c>
      <c r="F230" s="3"/>
      <c r="G230" s="3"/>
      <c r="H230" t="s">
        <v>832</v>
      </c>
      <c r="I230" t="s">
        <v>33</v>
      </c>
      <c r="J230" t="s">
        <v>833</v>
      </c>
      <c r="K230" t="s">
        <v>58</v>
      </c>
      <c r="L230" t="s">
        <v>834</v>
      </c>
      <c r="N230" s="3">
        <v>38604</v>
      </c>
      <c r="O230" t="s">
        <v>133</v>
      </c>
      <c r="P230" t="s">
        <v>133</v>
      </c>
      <c r="Q230" s="3"/>
      <c r="R230" s="3"/>
      <c r="S230" s="3"/>
      <c r="V230" s="3"/>
      <c r="W230" s="3"/>
      <c r="X230" s="3"/>
      <c r="Y230" s="3"/>
      <c r="Z230" s="3"/>
      <c r="AA230" s="3"/>
      <c r="AB230" s="3"/>
      <c r="AC230" t="s">
        <v>647</v>
      </c>
    </row>
    <row r="231" spans="1:29" x14ac:dyDescent="0.3">
      <c r="A231" s="2" t="str">
        <f>HYPERLINK("https://www.cadth.ca/etanercept-0", "Erelzi")</f>
        <v>Erelzi</v>
      </c>
      <c r="B231" t="s">
        <v>449</v>
      </c>
      <c r="C231" t="s">
        <v>835</v>
      </c>
      <c r="D231" t="s">
        <v>55</v>
      </c>
      <c r="E231" t="s">
        <v>40</v>
      </c>
      <c r="F231" s="3">
        <v>42768</v>
      </c>
      <c r="G231" s="3">
        <v>42941</v>
      </c>
      <c r="H231" t="s">
        <v>836</v>
      </c>
      <c r="I231" t="s">
        <v>33</v>
      </c>
      <c r="N231" s="3"/>
      <c r="O231" t="s">
        <v>837</v>
      </c>
      <c r="Q231" s="3"/>
      <c r="R231" s="3"/>
      <c r="S231" s="3"/>
      <c r="T231" t="s">
        <v>36</v>
      </c>
      <c r="V231" s="3"/>
      <c r="W231" s="3"/>
      <c r="X231" s="3"/>
      <c r="Y231" s="3"/>
      <c r="Z231" s="3"/>
      <c r="AA231" s="3"/>
      <c r="AB231" s="3"/>
    </row>
    <row r="232" spans="1:29" x14ac:dyDescent="0.3">
      <c r="A232" s="2" t="str">
        <f>HYPERLINK("https://www.cadth.ca/node/79652", "Erivedge")</f>
        <v>Erivedge</v>
      </c>
      <c r="B232" t="s">
        <v>838</v>
      </c>
      <c r="C232" t="s">
        <v>839</v>
      </c>
      <c r="D232" t="s">
        <v>55</v>
      </c>
      <c r="E232" t="s">
        <v>40</v>
      </c>
      <c r="F232" s="3">
        <v>41439</v>
      </c>
      <c r="G232" s="3">
        <v>41649</v>
      </c>
      <c r="H232" t="s">
        <v>840</v>
      </c>
      <c r="I232" t="s">
        <v>33</v>
      </c>
      <c r="J232" t="s">
        <v>209</v>
      </c>
      <c r="K232" t="s">
        <v>616</v>
      </c>
      <c r="L232" t="s">
        <v>841</v>
      </c>
      <c r="M232" t="s">
        <v>60</v>
      </c>
      <c r="N232" s="3">
        <v>41467</v>
      </c>
      <c r="O232" t="s">
        <v>80</v>
      </c>
      <c r="P232" t="s">
        <v>80</v>
      </c>
      <c r="Q232" s="3"/>
      <c r="R232" s="3"/>
      <c r="S232" s="3">
        <v>41446</v>
      </c>
      <c r="U232" t="s">
        <v>99</v>
      </c>
      <c r="V232" s="3">
        <v>41453</v>
      </c>
      <c r="W232" s="3">
        <v>41514</v>
      </c>
      <c r="X232" s="3">
        <v>41564</v>
      </c>
      <c r="Y232" s="3">
        <v>41578</v>
      </c>
      <c r="Z232" s="3">
        <v>41593</v>
      </c>
      <c r="AA232" s="3"/>
      <c r="AB232" s="3">
        <v>41666</v>
      </c>
    </row>
    <row r="233" spans="1:29" x14ac:dyDescent="0.3">
      <c r="A233" s="2" t="str">
        <f>HYPERLINK("https://www.cadth.ca/node/108575", "Erleada")</f>
        <v>Erleada</v>
      </c>
      <c r="B233" t="s">
        <v>842</v>
      </c>
      <c r="C233" t="s">
        <v>843</v>
      </c>
      <c r="D233" t="s">
        <v>55</v>
      </c>
      <c r="E233" t="s">
        <v>40</v>
      </c>
      <c r="F233" s="3">
        <v>43206</v>
      </c>
      <c r="G233" s="3">
        <v>43405</v>
      </c>
      <c r="H233" t="s">
        <v>844</v>
      </c>
      <c r="I233" t="s">
        <v>33</v>
      </c>
      <c r="J233" t="s">
        <v>845</v>
      </c>
      <c r="K233" t="s">
        <v>367</v>
      </c>
      <c r="L233" t="s">
        <v>843</v>
      </c>
      <c r="M233" t="s">
        <v>60</v>
      </c>
      <c r="N233" s="3">
        <v>43284</v>
      </c>
      <c r="O233" t="s">
        <v>665</v>
      </c>
      <c r="P233" t="s">
        <v>665</v>
      </c>
      <c r="Q233" s="3"/>
      <c r="R233" s="3"/>
      <c r="S233" s="3">
        <v>43221</v>
      </c>
      <c r="U233" t="s">
        <v>99</v>
      </c>
      <c r="V233" s="3">
        <v>43220</v>
      </c>
      <c r="W233" s="3">
        <v>43263</v>
      </c>
      <c r="X233" s="3">
        <v>43328</v>
      </c>
      <c r="Y233" s="3">
        <v>43342</v>
      </c>
      <c r="Z233" s="3">
        <v>43357</v>
      </c>
      <c r="AA233" s="3"/>
      <c r="AB233" s="3">
        <v>43420</v>
      </c>
    </row>
    <row r="234" spans="1:29" x14ac:dyDescent="0.3">
      <c r="A234" s="2" t="str">
        <f>HYPERLINK("https://www.cadth.ca/node/117635", "Erleada")</f>
        <v>Erleada</v>
      </c>
      <c r="B234" t="s">
        <v>842</v>
      </c>
      <c r="C234" t="s">
        <v>846</v>
      </c>
      <c r="D234" t="s">
        <v>55</v>
      </c>
      <c r="E234" t="s">
        <v>40</v>
      </c>
      <c r="F234" s="3">
        <v>43753</v>
      </c>
      <c r="G234" s="3">
        <v>43943</v>
      </c>
      <c r="H234" t="s">
        <v>847</v>
      </c>
      <c r="I234" t="s">
        <v>33</v>
      </c>
      <c r="J234" t="s">
        <v>845</v>
      </c>
      <c r="K234" t="s">
        <v>367</v>
      </c>
      <c r="L234" t="s">
        <v>848</v>
      </c>
      <c r="M234" t="s">
        <v>60</v>
      </c>
      <c r="N234" s="3">
        <v>43811</v>
      </c>
      <c r="O234" t="s">
        <v>665</v>
      </c>
      <c r="P234" t="s">
        <v>665</v>
      </c>
      <c r="Q234" s="3"/>
      <c r="R234" s="3"/>
      <c r="S234" s="3">
        <v>43767</v>
      </c>
      <c r="V234" s="3">
        <v>43767</v>
      </c>
      <c r="W234" s="3">
        <v>43816</v>
      </c>
      <c r="X234" s="3">
        <v>43909</v>
      </c>
      <c r="Y234" s="3">
        <v>43923</v>
      </c>
      <c r="Z234" s="3">
        <v>43938</v>
      </c>
      <c r="AA234" s="3"/>
      <c r="AB234" s="3">
        <v>43958</v>
      </c>
    </row>
    <row r="235" spans="1:29" x14ac:dyDescent="0.3">
      <c r="A235" s="2" t="str">
        <f>HYPERLINK("https://www.cadth.ca/pirfenidone-0", "Esbriet")</f>
        <v>Esbriet</v>
      </c>
      <c r="B235" t="s">
        <v>849</v>
      </c>
      <c r="C235" t="s">
        <v>850</v>
      </c>
      <c r="D235" t="s">
        <v>50</v>
      </c>
      <c r="E235" t="s">
        <v>40</v>
      </c>
      <c r="F235" s="3">
        <v>41880</v>
      </c>
      <c r="G235" s="3">
        <v>42109</v>
      </c>
      <c r="H235" t="s">
        <v>851</v>
      </c>
      <c r="I235" t="s">
        <v>33</v>
      </c>
      <c r="N235" s="3"/>
      <c r="O235" t="s">
        <v>852</v>
      </c>
      <c r="Q235" s="3"/>
      <c r="R235" s="3"/>
      <c r="S235" s="3"/>
      <c r="T235" t="s">
        <v>142</v>
      </c>
      <c r="V235" s="3"/>
      <c r="W235" s="3"/>
      <c r="X235" s="3"/>
      <c r="Y235" s="3"/>
      <c r="Z235" s="3"/>
      <c r="AA235" s="3"/>
      <c r="AB235" s="3"/>
    </row>
    <row r="236" spans="1:29" x14ac:dyDescent="0.3">
      <c r="A236" s="2" t="str">
        <f>HYPERLINK("https://www.cadth.ca/pirfenidone", "Esbriet")</f>
        <v>Esbriet</v>
      </c>
      <c r="B236" t="s">
        <v>849</v>
      </c>
      <c r="C236" t="s">
        <v>850</v>
      </c>
      <c r="D236" t="s">
        <v>39</v>
      </c>
      <c r="E236" t="s">
        <v>40</v>
      </c>
      <c r="F236" s="3">
        <v>41187</v>
      </c>
      <c r="G236" s="3">
        <v>41382</v>
      </c>
      <c r="H236" t="s">
        <v>853</v>
      </c>
      <c r="I236" t="s">
        <v>33</v>
      </c>
      <c r="N236" s="3"/>
      <c r="O236" t="s">
        <v>854</v>
      </c>
      <c r="Q236" s="3"/>
      <c r="R236" s="3"/>
      <c r="S236" s="3"/>
      <c r="T236" t="s">
        <v>36</v>
      </c>
      <c r="V236" s="3"/>
      <c r="W236" s="3"/>
      <c r="X236" s="3"/>
      <c r="Y236" s="3"/>
      <c r="Z236" s="3"/>
      <c r="AA236" s="3"/>
      <c r="AB236" s="3"/>
    </row>
    <row r="237" spans="1:29" x14ac:dyDescent="0.3">
      <c r="A237" s="2" t="str">
        <f>HYPERLINK("https://www.cadth.ca/crisaborole", "Eucrisa")</f>
        <v>Eucrisa</v>
      </c>
      <c r="B237" t="s">
        <v>855</v>
      </c>
      <c r="C237" t="s">
        <v>732</v>
      </c>
      <c r="D237" t="s">
        <v>127</v>
      </c>
      <c r="E237" t="s">
        <v>40</v>
      </c>
      <c r="F237" s="3">
        <v>43245</v>
      </c>
      <c r="G237" s="3">
        <v>43551</v>
      </c>
      <c r="H237" t="s">
        <v>856</v>
      </c>
      <c r="I237" t="s">
        <v>33</v>
      </c>
      <c r="N237" s="3"/>
      <c r="O237" t="s">
        <v>387</v>
      </c>
      <c r="Q237" s="3"/>
      <c r="R237" s="3"/>
      <c r="S237" s="3"/>
      <c r="T237" t="s">
        <v>36</v>
      </c>
      <c r="V237" s="3"/>
      <c r="W237" s="3"/>
      <c r="X237" s="3"/>
      <c r="Y237" s="3"/>
      <c r="Z237" s="3"/>
      <c r="AA237" s="3"/>
      <c r="AB237" s="3"/>
    </row>
    <row r="238" spans="1:29" x14ac:dyDescent="0.3">
      <c r="A238" s="2" t="str">
        <f>HYPERLINK("https://www.cadth.ca/romosozumab", "Evenity")</f>
        <v>Evenity</v>
      </c>
      <c r="B238" t="s">
        <v>857</v>
      </c>
      <c r="C238" t="s">
        <v>69</v>
      </c>
      <c r="E238" t="s">
        <v>31</v>
      </c>
      <c r="F238" s="3">
        <v>44228</v>
      </c>
      <c r="G238" s="3"/>
      <c r="H238" t="s">
        <v>858</v>
      </c>
      <c r="I238" t="s">
        <v>33</v>
      </c>
      <c r="N238" s="3"/>
      <c r="O238" t="s">
        <v>407</v>
      </c>
      <c r="Q238" s="3"/>
      <c r="R238" s="3"/>
      <c r="S238" s="3"/>
      <c r="T238" t="s">
        <v>36</v>
      </c>
      <c r="V238" s="3"/>
      <c r="W238" s="3"/>
      <c r="X238" s="3"/>
      <c r="Y238" s="3"/>
      <c r="Z238" s="3"/>
      <c r="AA238" s="3"/>
      <c r="AB238" s="3"/>
    </row>
    <row r="239" spans="1:29" x14ac:dyDescent="0.3">
      <c r="A239" s="2" t="str">
        <f>HYPERLINK("https://www.cadth.ca/norgelestrominethinyl-estradiol", "Evra")</f>
        <v>Evra</v>
      </c>
      <c r="B239" t="s">
        <v>859</v>
      </c>
      <c r="C239" t="s">
        <v>860</v>
      </c>
      <c r="D239" t="s">
        <v>39</v>
      </c>
      <c r="E239" t="s">
        <v>40</v>
      </c>
      <c r="F239" s="3">
        <v>37974</v>
      </c>
      <c r="G239" s="3">
        <v>38161</v>
      </c>
      <c r="H239" t="s">
        <v>861</v>
      </c>
      <c r="I239" t="s">
        <v>33</v>
      </c>
      <c r="N239" s="3"/>
      <c r="O239" t="s">
        <v>334</v>
      </c>
      <c r="Q239" s="3"/>
      <c r="R239" s="3"/>
      <c r="S239" s="3"/>
      <c r="T239" t="s">
        <v>36</v>
      </c>
      <c r="V239" s="3"/>
      <c r="W239" s="3"/>
      <c r="X239" s="3"/>
      <c r="Y239" s="3"/>
      <c r="Z239" s="3"/>
      <c r="AA239" s="3"/>
      <c r="AB239" s="3"/>
    </row>
    <row r="240" spans="1:29" x14ac:dyDescent="0.3">
      <c r="A240" s="2" t="str">
        <f>HYPERLINK("https://www.cadth.ca/risdiplam", "Evrysdi")</f>
        <v>Evrysdi</v>
      </c>
      <c r="B240" t="s">
        <v>862</v>
      </c>
      <c r="C240" t="s">
        <v>863</v>
      </c>
      <c r="D240" t="s">
        <v>55</v>
      </c>
      <c r="E240" t="s">
        <v>31</v>
      </c>
      <c r="F240" s="3">
        <v>44154</v>
      </c>
      <c r="G240" s="3">
        <v>44434</v>
      </c>
      <c r="H240" t="s">
        <v>864</v>
      </c>
      <c r="I240" t="s">
        <v>33</v>
      </c>
      <c r="N240" s="3"/>
      <c r="O240" t="s">
        <v>865</v>
      </c>
      <c r="Q240" s="3"/>
      <c r="R240" s="3"/>
      <c r="S240" s="3"/>
      <c r="T240" t="s">
        <v>36</v>
      </c>
      <c r="V240" s="3"/>
      <c r="W240" s="3"/>
      <c r="X240" s="3"/>
      <c r="Y240" s="3"/>
      <c r="Z240" s="3"/>
      <c r="AA240" s="3"/>
      <c r="AB240" s="3"/>
    </row>
    <row r="241" spans="1:28" x14ac:dyDescent="0.3">
      <c r="A241" s="2" t="str">
        <f>HYPERLINK("https://www.cadth.ca/rivastigmine", "Exelon Patch")</f>
        <v>Exelon Patch</v>
      </c>
      <c r="B241" t="s">
        <v>866</v>
      </c>
      <c r="C241" t="s">
        <v>867</v>
      </c>
      <c r="D241" t="s">
        <v>39</v>
      </c>
      <c r="E241" t="s">
        <v>40</v>
      </c>
      <c r="F241" s="3">
        <v>39437</v>
      </c>
      <c r="G241" s="3">
        <v>39652</v>
      </c>
      <c r="H241" t="s">
        <v>868</v>
      </c>
      <c r="I241" t="s">
        <v>33</v>
      </c>
      <c r="N241" s="3"/>
      <c r="O241" t="s">
        <v>71</v>
      </c>
      <c r="Q241" s="3"/>
      <c r="R241" s="3"/>
      <c r="S241" s="3"/>
      <c r="T241" t="s">
        <v>36</v>
      </c>
      <c r="V241" s="3"/>
      <c r="W241" s="3"/>
      <c r="X241" s="3"/>
      <c r="Y241" s="3"/>
      <c r="Z241" s="3"/>
      <c r="AA241" s="3"/>
      <c r="AB241" s="3"/>
    </row>
    <row r="242" spans="1:28" x14ac:dyDescent="0.3">
      <c r="A242" s="2" t="str">
        <f>HYPERLINK("https://www.cadth.ca/deferasirox", "Exjade")</f>
        <v>Exjade</v>
      </c>
      <c r="B242" t="s">
        <v>869</v>
      </c>
      <c r="C242" t="s">
        <v>870</v>
      </c>
      <c r="D242" t="s">
        <v>46</v>
      </c>
      <c r="E242" t="s">
        <v>40</v>
      </c>
      <c r="F242" s="3">
        <v>39016</v>
      </c>
      <c r="G242" s="3">
        <v>39191</v>
      </c>
      <c r="H242" t="s">
        <v>871</v>
      </c>
      <c r="I242" t="s">
        <v>33</v>
      </c>
      <c r="N242" s="3"/>
      <c r="O242" t="s">
        <v>71</v>
      </c>
      <c r="Q242" s="3"/>
      <c r="R242" s="3"/>
      <c r="S242" s="3"/>
      <c r="T242" t="s">
        <v>36</v>
      </c>
      <c r="V242" s="3"/>
      <c r="W242" s="3"/>
      <c r="X242" s="3"/>
      <c r="Y242" s="3"/>
      <c r="Z242" s="3"/>
      <c r="AA242" s="3"/>
      <c r="AB242" s="3"/>
    </row>
    <row r="243" spans="1:28" x14ac:dyDescent="0.3">
      <c r="A243" s="2" t="str">
        <f>HYPERLINK("https://www.cadth.ca/aflibercept", "Eylea")</f>
        <v>Eylea</v>
      </c>
      <c r="B243" t="s">
        <v>872</v>
      </c>
      <c r="C243" t="s">
        <v>380</v>
      </c>
      <c r="D243" t="s">
        <v>50</v>
      </c>
      <c r="E243" t="s">
        <v>40</v>
      </c>
      <c r="F243" s="3">
        <v>41596</v>
      </c>
      <c r="G243" s="3">
        <v>41932</v>
      </c>
      <c r="H243" t="s">
        <v>873</v>
      </c>
      <c r="I243" t="s">
        <v>33</v>
      </c>
      <c r="N243" s="3"/>
      <c r="O243" t="s">
        <v>874</v>
      </c>
      <c r="Q243" s="3"/>
      <c r="R243" s="3"/>
      <c r="S243" s="3"/>
      <c r="T243" t="s">
        <v>36</v>
      </c>
      <c r="V243" s="3"/>
      <c r="W243" s="3"/>
      <c r="X243" s="3"/>
      <c r="Y243" s="3"/>
      <c r="Z243" s="3"/>
      <c r="AA243" s="3"/>
      <c r="AB243" s="3"/>
    </row>
    <row r="244" spans="1:28" x14ac:dyDescent="0.3">
      <c r="A244" s="2" t="str">
        <f>HYPERLINK("https://www.cadth.ca/aflibercept-0", "Eylea")</f>
        <v>Eylea</v>
      </c>
      <c r="B244" t="s">
        <v>872</v>
      </c>
      <c r="C244" t="s">
        <v>875</v>
      </c>
      <c r="D244" t="s">
        <v>46</v>
      </c>
      <c r="E244" t="s">
        <v>40</v>
      </c>
      <c r="F244" s="3">
        <v>41898</v>
      </c>
      <c r="G244" s="3">
        <v>42131</v>
      </c>
      <c r="H244" t="s">
        <v>876</v>
      </c>
      <c r="I244" t="s">
        <v>33</v>
      </c>
      <c r="N244" s="3"/>
      <c r="O244" t="s">
        <v>146</v>
      </c>
      <c r="Q244" s="3"/>
      <c r="R244" s="3"/>
      <c r="S244" s="3"/>
      <c r="T244" t="s">
        <v>36</v>
      </c>
      <c r="V244" s="3"/>
      <c r="W244" s="3"/>
      <c r="X244" s="3"/>
      <c r="Y244" s="3"/>
      <c r="Z244" s="3"/>
      <c r="AA244" s="3"/>
      <c r="AB244" s="3"/>
    </row>
    <row r="245" spans="1:28" x14ac:dyDescent="0.3">
      <c r="A245" s="2" t="str">
        <f>HYPERLINK("https://www.cadth.ca/aflibercept-1", "Eylea")</f>
        <v>Eylea</v>
      </c>
      <c r="B245" t="s">
        <v>872</v>
      </c>
      <c r="C245" t="s">
        <v>877</v>
      </c>
      <c r="D245" t="s">
        <v>46</v>
      </c>
      <c r="E245" t="s">
        <v>40</v>
      </c>
      <c r="F245" s="3">
        <v>41929</v>
      </c>
      <c r="G245" s="3">
        <v>42131</v>
      </c>
      <c r="H245" t="s">
        <v>878</v>
      </c>
      <c r="I245" t="s">
        <v>33</v>
      </c>
      <c r="N245" s="3"/>
      <c r="O245" t="s">
        <v>146</v>
      </c>
      <c r="Q245" s="3"/>
      <c r="R245" s="3"/>
      <c r="S245" s="3"/>
      <c r="T245" t="s">
        <v>36</v>
      </c>
      <c r="V245" s="3"/>
      <c r="W245" s="3"/>
      <c r="X245" s="3"/>
      <c r="Y245" s="3"/>
      <c r="Z245" s="3"/>
      <c r="AA245" s="3"/>
      <c r="AB245" s="3"/>
    </row>
    <row r="246" spans="1:28" x14ac:dyDescent="0.3">
      <c r="A246" s="2" t="str">
        <f>HYPERLINK("https://www.cadth.ca/aflibercept-2", "Eylea")</f>
        <v>Eylea</v>
      </c>
      <c r="B246" t="s">
        <v>872</v>
      </c>
      <c r="C246" t="s">
        <v>879</v>
      </c>
      <c r="D246" t="s">
        <v>55</v>
      </c>
      <c r="E246" t="s">
        <v>40</v>
      </c>
      <c r="F246" s="3">
        <v>42352</v>
      </c>
      <c r="G246" s="3">
        <v>42578</v>
      </c>
      <c r="H246" t="s">
        <v>880</v>
      </c>
      <c r="I246" t="s">
        <v>33</v>
      </c>
      <c r="N246" s="3"/>
      <c r="O246" t="s">
        <v>146</v>
      </c>
      <c r="Q246" s="3"/>
      <c r="R246" s="3"/>
      <c r="S246" s="3"/>
      <c r="T246" t="s">
        <v>36</v>
      </c>
      <c r="V246" s="3"/>
      <c r="W246" s="3"/>
      <c r="X246" s="3"/>
      <c r="Y246" s="3"/>
      <c r="Z246" s="3"/>
      <c r="AA246" s="3"/>
      <c r="AB246" s="3"/>
    </row>
    <row r="247" spans="1:28" x14ac:dyDescent="0.3">
      <c r="A247" s="2" t="str">
        <f>HYPERLINK("https://www.cadth.ca/agalsidase-beta", "Fabrazyme")</f>
        <v>Fabrazyme</v>
      </c>
      <c r="B247" t="s">
        <v>881</v>
      </c>
      <c r="C247" t="s">
        <v>882</v>
      </c>
      <c r="D247" t="s">
        <v>39</v>
      </c>
      <c r="E247" t="s">
        <v>40</v>
      </c>
      <c r="F247" s="3">
        <v>38041</v>
      </c>
      <c r="G247" s="3">
        <v>38315</v>
      </c>
      <c r="H247" t="s">
        <v>883</v>
      </c>
      <c r="I247" t="s">
        <v>33</v>
      </c>
      <c r="N247" s="3"/>
      <c r="O247" t="s">
        <v>200</v>
      </c>
      <c r="Q247" s="3"/>
      <c r="R247" s="3"/>
      <c r="S247" s="3"/>
      <c r="T247" t="s">
        <v>36</v>
      </c>
      <c r="V247" s="3"/>
      <c r="W247" s="3"/>
      <c r="X247" s="3"/>
      <c r="Y247" s="3"/>
      <c r="Z247" s="3"/>
      <c r="AA247" s="3"/>
      <c r="AB247" s="3"/>
    </row>
    <row r="248" spans="1:28" x14ac:dyDescent="0.3">
      <c r="A248" s="2" t="str">
        <f>HYPERLINK("https://www.cadth.ca/agalsidase-beta-0", "Fabrazyme")</f>
        <v>Fabrazyme</v>
      </c>
      <c r="B248" t="s">
        <v>881</v>
      </c>
      <c r="C248" t="s">
        <v>882</v>
      </c>
      <c r="D248" t="s">
        <v>39</v>
      </c>
      <c r="E248" t="s">
        <v>40</v>
      </c>
      <c r="F248" s="3">
        <v>38331</v>
      </c>
      <c r="G248" s="3">
        <v>38490</v>
      </c>
      <c r="H248" t="s">
        <v>884</v>
      </c>
      <c r="I248" t="s">
        <v>33</v>
      </c>
      <c r="N248" s="3"/>
      <c r="O248" t="s">
        <v>200</v>
      </c>
      <c r="Q248" s="3"/>
      <c r="R248" s="3"/>
      <c r="S248" s="3"/>
      <c r="T248" t="s">
        <v>142</v>
      </c>
      <c r="V248" s="3"/>
      <c r="W248" s="3"/>
      <c r="X248" s="3"/>
      <c r="Y248" s="3"/>
      <c r="Z248" s="3"/>
      <c r="AA248" s="3"/>
      <c r="AB248" s="3"/>
    </row>
    <row r="249" spans="1:28" x14ac:dyDescent="0.3">
      <c r="A249" s="2" t="str">
        <f>HYPERLINK("https://www.cadth.ca/fampridine", "Fampyra")</f>
        <v>Fampyra</v>
      </c>
      <c r="B249" t="s">
        <v>885</v>
      </c>
      <c r="C249" t="s">
        <v>886</v>
      </c>
      <c r="D249" t="s">
        <v>39</v>
      </c>
      <c r="E249" t="s">
        <v>40</v>
      </c>
      <c r="F249" s="3">
        <v>41015</v>
      </c>
      <c r="G249" s="3">
        <v>41241</v>
      </c>
      <c r="H249" t="s">
        <v>887</v>
      </c>
      <c r="I249" t="s">
        <v>33</v>
      </c>
      <c r="N249" s="3"/>
      <c r="O249" t="s">
        <v>254</v>
      </c>
      <c r="Q249" s="3"/>
      <c r="R249" s="3"/>
      <c r="S249" s="3"/>
      <c r="T249" t="s">
        <v>36</v>
      </c>
      <c r="V249" s="3"/>
      <c r="W249" s="3"/>
      <c r="X249" s="3"/>
      <c r="Y249" s="3"/>
      <c r="Z249" s="3"/>
      <c r="AA249" s="3"/>
      <c r="AB249" s="3"/>
    </row>
    <row r="250" spans="1:28" x14ac:dyDescent="0.3">
      <c r="A250" s="2" t="str">
        <f>HYPERLINK("https://www.cadth.ca/fampridine-0", "Fampyra")</f>
        <v>Fampyra</v>
      </c>
      <c r="B250" t="s">
        <v>885</v>
      </c>
      <c r="C250" t="s">
        <v>886</v>
      </c>
      <c r="E250" t="s">
        <v>113</v>
      </c>
      <c r="F250" s="3">
        <v>41949</v>
      </c>
      <c r="G250" s="3"/>
      <c r="H250" t="s">
        <v>888</v>
      </c>
      <c r="I250" t="s">
        <v>33</v>
      </c>
      <c r="N250" s="3"/>
      <c r="O250" t="s">
        <v>254</v>
      </c>
      <c r="Q250" s="3"/>
      <c r="R250" s="3"/>
      <c r="S250" s="3"/>
      <c r="T250" t="s">
        <v>142</v>
      </c>
      <c r="V250" s="3"/>
      <c r="W250" s="3"/>
      <c r="X250" s="3"/>
      <c r="Y250" s="3"/>
      <c r="Z250" s="3"/>
      <c r="AA250" s="3"/>
      <c r="AB250" s="3"/>
    </row>
    <row r="251" spans="1:28" x14ac:dyDescent="0.3">
      <c r="A251" s="2" t="str">
        <f>HYPERLINK("https://www.cadth.ca/benralizumab", "Fasenra")</f>
        <v>Fasenra</v>
      </c>
      <c r="B251" t="s">
        <v>889</v>
      </c>
      <c r="C251" t="s">
        <v>890</v>
      </c>
      <c r="D251" t="s">
        <v>55</v>
      </c>
      <c r="E251" t="s">
        <v>40</v>
      </c>
      <c r="F251" s="3">
        <v>43154</v>
      </c>
      <c r="G251" s="3">
        <v>43333</v>
      </c>
      <c r="H251" t="s">
        <v>891</v>
      </c>
      <c r="I251" t="s">
        <v>33</v>
      </c>
      <c r="N251" s="3"/>
      <c r="O251" t="s">
        <v>465</v>
      </c>
      <c r="Q251" s="3"/>
      <c r="R251" s="3"/>
      <c r="S251" s="3"/>
      <c r="T251" t="s">
        <v>36</v>
      </c>
      <c r="V251" s="3"/>
      <c r="W251" s="3"/>
      <c r="X251" s="3"/>
      <c r="Y251" s="3"/>
      <c r="Z251" s="3"/>
      <c r="AA251" s="3"/>
      <c r="AB251" s="3"/>
    </row>
    <row r="252" spans="1:28" x14ac:dyDescent="0.3">
      <c r="A252" s="2" t="str">
        <f>HYPERLINK("https://www.cadth.ca/benralizumab-0", "Fasenra")</f>
        <v>Fasenra</v>
      </c>
      <c r="B252" t="s">
        <v>889</v>
      </c>
      <c r="C252" t="s">
        <v>890</v>
      </c>
      <c r="D252" t="s">
        <v>55</v>
      </c>
      <c r="E252" t="s">
        <v>40</v>
      </c>
      <c r="F252" s="3">
        <v>43397</v>
      </c>
      <c r="G252" s="3">
        <v>43551</v>
      </c>
      <c r="H252" t="s">
        <v>892</v>
      </c>
      <c r="I252" t="s">
        <v>33</v>
      </c>
      <c r="N252" s="3"/>
      <c r="O252" t="s">
        <v>465</v>
      </c>
      <c r="Q252" s="3"/>
      <c r="R252" s="3"/>
      <c r="S252" s="3"/>
      <c r="T252" t="s">
        <v>49</v>
      </c>
      <c r="V252" s="3"/>
      <c r="W252" s="3"/>
      <c r="X252" s="3"/>
      <c r="Y252" s="3"/>
      <c r="Z252" s="3"/>
      <c r="AA252" s="3"/>
      <c r="AB252" s="3"/>
    </row>
    <row r="253" spans="1:28" x14ac:dyDescent="0.3">
      <c r="A253" s="2" t="str">
        <f>HYPERLINK("https://www.cadth.ca/node/103083", "Faslodex")</f>
        <v>Faslodex</v>
      </c>
      <c r="B253" t="s">
        <v>893</v>
      </c>
      <c r="C253" t="s">
        <v>894</v>
      </c>
      <c r="D253" t="s">
        <v>55</v>
      </c>
      <c r="E253" t="s">
        <v>40</v>
      </c>
      <c r="F253" s="3">
        <v>42933</v>
      </c>
      <c r="G253" s="3">
        <v>43132</v>
      </c>
      <c r="H253" t="s">
        <v>895</v>
      </c>
      <c r="I253" t="s">
        <v>33</v>
      </c>
      <c r="J253" t="s">
        <v>896</v>
      </c>
      <c r="K253" t="s">
        <v>177</v>
      </c>
      <c r="L253" t="s">
        <v>897</v>
      </c>
      <c r="M253" t="s">
        <v>60</v>
      </c>
      <c r="N253" s="3">
        <v>43047</v>
      </c>
      <c r="O253" t="s">
        <v>465</v>
      </c>
      <c r="P253" t="s">
        <v>465</v>
      </c>
      <c r="Q253" s="3"/>
      <c r="R253" s="3"/>
      <c r="S253" s="3">
        <v>42940</v>
      </c>
      <c r="U253" t="s">
        <v>62</v>
      </c>
      <c r="V253" s="3">
        <v>42947</v>
      </c>
      <c r="W253" s="3">
        <v>42996</v>
      </c>
      <c r="X253" s="3">
        <v>43055</v>
      </c>
      <c r="Y253" s="3">
        <v>43069</v>
      </c>
      <c r="Z253" s="3">
        <v>43083</v>
      </c>
      <c r="AA253" s="3"/>
      <c r="AB253" s="3">
        <v>43147</v>
      </c>
    </row>
    <row r="254" spans="1:28" x14ac:dyDescent="0.3">
      <c r="A254" s="2" t="str">
        <f>HYPERLINK("https://www.cadth.ca/fentanyl-buccal", "Fentora")</f>
        <v>Fentora</v>
      </c>
      <c r="B254" t="s">
        <v>898</v>
      </c>
      <c r="C254" t="s">
        <v>899</v>
      </c>
      <c r="D254" t="s">
        <v>127</v>
      </c>
      <c r="E254" t="s">
        <v>40</v>
      </c>
      <c r="F254" s="3">
        <v>42563</v>
      </c>
      <c r="G254" s="3">
        <v>42787</v>
      </c>
      <c r="H254" t="s">
        <v>900</v>
      </c>
      <c r="I254" t="s">
        <v>33</v>
      </c>
      <c r="N254" s="3"/>
      <c r="O254" t="s">
        <v>192</v>
      </c>
      <c r="Q254" s="3"/>
      <c r="R254" s="3"/>
      <c r="S254" s="3"/>
      <c r="T254" t="s">
        <v>36</v>
      </c>
      <c r="V254" s="3"/>
      <c r="W254" s="3"/>
      <c r="X254" s="3"/>
      <c r="Y254" s="3"/>
      <c r="Z254" s="3"/>
      <c r="AA254" s="3"/>
      <c r="AB254" s="3"/>
    </row>
    <row r="255" spans="1:28" x14ac:dyDescent="0.3">
      <c r="A255" s="2" t="str">
        <f>HYPERLINK("https://www.cadth.ca/deferiprone", "Ferriprox")</f>
        <v>Ferriprox</v>
      </c>
      <c r="B255" t="s">
        <v>901</v>
      </c>
      <c r="C255" t="s">
        <v>902</v>
      </c>
      <c r="D255" t="s">
        <v>46</v>
      </c>
      <c r="E255" t="s">
        <v>40</v>
      </c>
      <c r="F255" s="3">
        <v>42271</v>
      </c>
      <c r="G255" s="3">
        <v>42447</v>
      </c>
      <c r="H255" t="s">
        <v>903</v>
      </c>
      <c r="I255" t="s">
        <v>33</v>
      </c>
      <c r="N255" s="3"/>
      <c r="O255" t="s">
        <v>904</v>
      </c>
      <c r="Q255" s="3"/>
      <c r="R255" s="3"/>
      <c r="S255" s="3"/>
      <c r="T255" t="s">
        <v>36</v>
      </c>
      <c r="V255" s="3"/>
      <c r="W255" s="3"/>
      <c r="X255" s="3"/>
      <c r="Y255" s="3"/>
      <c r="Z255" s="3"/>
      <c r="AA255" s="3"/>
      <c r="AB255" s="3"/>
    </row>
    <row r="256" spans="1:28" x14ac:dyDescent="0.3">
      <c r="A256" s="2" t="str">
        <f>HYPERLINK("https://www.cadth.ca/ulipristal-acetate-0", "Fibristal")</f>
        <v>Fibristal</v>
      </c>
      <c r="B256" t="s">
        <v>905</v>
      </c>
      <c r="C256" t="s">
        <v>906</v>
      </c>
      <c r="D256" t="s">
        <v>55</v>
      </c>
      <c r="E256" t="s">
        <v>40</v>
      </c>
      <c r="F256" s="3">
        <v>42907</v>
      </c>
      <c r="G256" s="3">
        <v>43061</v>
      </c>
      <c r="H256" t="s">
        <v>907</v>
      </c>
      <c r="I256" t="s">
        <v>33</v>
      </c>
      <c r="N256" s="3"/>
      <c r="O256" t="s">
        <v>438</v>
      </c>
      <c r="Q256" s="3"/>
      <c r="R256" s="3"/>
      <c r="S256" s="3"/>
      <c r="T256" t="s">
        <v>49</v>
      </c>
      <c r="V256" s="3"/>
      <c r="W256" s="3"/>
      <c r="X256" s="3"/>
      <c r="Y256" s="3"/>
      <c r="Z256" s="3"/>
      <c r="AA256" s="3"/>
      <c r="AB256" s="3"/>
    </row>
    <row r="257" spans="1:29" x14ac:dyDescent="0.3">
      <c r="A257" s="2" t="str">
        <f>HYPERLINK("https://www.cadth.ca/ulipristal-acetate-1", "Fibristal")</f>
        <v>Fibristal</v>
      </c>
      <c r="B257" t="s">
        <v>905</v>
      </c>
      <c r="C257" t="s">
        <v>906</v>
      </c>
      <c r="D257" t="s">
        <v>55</v>
      </c>
      <c r="E257" t="s">
        <v>40</v>
      </c>
      <c r="F257" s="3">
        <v>43552</v>
      </c>
      <c r="G257" s="3">
        <v>43670</v>
      </c>
      <c r="H257" t="s">
        <v>908</v>
      </c>
      <c r="I257" t="s">
        <v>33</v>
      </c>
      <c r="N257" s="3"/>
      <c r="O257" t="s">
        <v>434</v>
      </c>
      <c r="Q257" s="3"/>
      <c r="R257" s="3"/>
      <c r="S257" s="3"/>
      <c r="T257" t="s">
        <v>49</v>
      </c>
      <c r="V257" s="3"/>
      <c r="W257" s="3"/>
      <c r="X257" s="3"/>
      <c r="Y257" s="3"/>
      <c r="Z257" s="3"/>
      <c r="AA257" s="3"/>
      <c r="AB257" s="3"/>
    </row>
    <row r="258" spans="1:29" x14ac:dyDescent="0.3">
      <c r="A258" s="2" t="str">
        <f>HYPERLINK("https://www.cadth.ca/ulipristal-acetate", "Fibristal")</f>
        <v>Fibristal</v>
      </c>
      <c r="B258" t="s">
        <v>909</v>
      </c>
      <c r="C258" t="s">
        <v>910</v>
      </c>
      <c r="D258" t="s">
        <v>50</v>
      </c>
      <c r="E258" t="s">
        <v>40</v>
      </c>
      <c r="F258" s="3">
        <v>41381</v>
      </c>
      <c r="G258" s="3">
        <v>41593</v>
      </c>
      <c r="H258" t="s">
        <v>911</v>
      </c>
      <c r="I258" t="s">
        <v>33</v>
      </c>
      <c r="N258" s="3"/>
      <c r="O258" t="s">
        <v>589</v>
      </c>
      <c r="Q258" s="3"/>
      <c r="R258" s="3"/>
      <c r="S258" s="3"/>
      <c r="T258" t="s">
        <v>36</v>
      </c>
      <c r="V258" s="3"/>
      <c r="W258" s="3"/>
      <c r="X258" s="3"/>
      <c r="Y258" s="3"/>
      <c r="Z258" s="3"/>
      <c r="AA258" s="3"/>
      <c r="AB258" s="3"/>
    </row>
    <row r="259" spans="1:29" x14ac:dyDescent="0.3">
      <c r="A259" s="2" t="str">
        <f>HYPERLINK("https://www.cadth.ca/azelaic-acid", "Finacea")</f>
        <v>Finacea</v>
      </c>
      <c r="B259" t="s">
        <v>912</v>
      </c>
      <c r="C259" t="s">
        <v>265</v>
      </c>
      <c r="D259" t="s">
        <v>160</v>
      </c>
      <c r="E259" t="s">
        <v>40</v>
      </c>
      <c r="F259" s="3">
        <v>40421</v>
      </c>
      <c r="G259" s="3">
        <v>40590</v>
      </c>
      <c r="H259" t="s">
        <v>913</v>
      </c>
      <c r="I259" t="s">
        <v>33</v>
      </c>
      <c r="N259" s="3"/>
      <c r="O259" t="s">
        <v>146</v>
      </c>
      <c r="Q259" s="3"/>
      <c r="R259" s="3"/>
      <c r="S259" s="3"/>
      <c r="T259" t="s">
        <v>36</v>
      </c>
      <c r="V259" s="3"/>
      <c r="W259" s="3"/>
      <c r="X259" s="3"/>
      <c r="Y259" s="3"/>
      <c r="Z259" s="3"/>
      <c r="AA259" s="3"/>
      <c r="AB259" s="3"/>
    </row>
    <row r="260" spans="1:29" x14ac:dyDescent="0.3">
      <c r="A260" s="2" t="str">
        <f>HYPERLINK("https://www.cadth.ca/icatibant", "Firazyr")</f>
        <v>Firazyr</v>
      </c>
      <c r="B260" t="s">
        <v>914</v>
      </c>
      <c r="C260" t="s">
        <v>915</v>
      </c>
      <c r="D260" t="s">
        <v>46</v>
      </c>
      <c r="E260" t="s">
        <v>40</v>
      </c>
      <c r="F260" s="3">
        <v>41702</v>
      </c>
      <c r="G260" s="3">
        <v>41992</v>
      </c>
      <c r="H260" t="s">
        <v>916</v>
      </c>
      <c r="I260" t="s">
        <v>33</v>
      </c>
      <c r="N260" s="3"/>
      <c r="O260" t="s">
        <v>917</v>
      </c>
      <c r="Q260" s="3"/>
      <c r="R260" s="3"/>
      <c r="S260" s="3"/>
      <c r="T260" t="s">
        <v>36</v>
      </c>
      <c r="V260" s="3"/>
      <c r="W260" s="3"/>
      <c r="X260" s="3"/>
      <c r="Y260" s="3"/>
      <c r="Z260" s="3"/>
      <c r="AA260" s="3"/>
      <c r="AB260" s="3"/>
    </row>
    <row r="261" spans="1:29" x14ac:dyDescent="0.3">
      <c r="A261" s="2" t="str">
        <f>HYPERLINK("https://www.cadth.ca/firazyr-icatibant", "Firazyr")</f>
        <v>Firazyr</v>
      </c>
      <c r="B261" t="s">
        <v>918</v>
      </c>
      <c r="D261" t="s">
        <v>577</v>
      </c>
      <c r="E261" t="s">
        <v>578</v>
      </c>
      <c r="F261" s="3"/>
      <c r="G261" s="3"/>
      <c r="H261" t="s">
        <v>391</v>
      </c>
      <c r="I261" t="s">
        <v>33</v>
      </c>
      <c r="N261" s="3"/>
      <c r="O261" t="s">
        <v>243</v>
      </c>
      <c r="Q261" s="3"/>
      <c r="R261" s="3"/>
      <c r="S261" s="3"/>
      <c r="T261" t="s">
        <v>579</v>
      </c>
      <c r="V261" s="3"/>
      <c r="W261" s="3"/>
      <c r="X261" s="3"/>
      <c r="Y261" s="3"/>
      <c r="Z261" s="3"/>
      <c r="AA261" s="3"/>
      <c r="AB261" s="3"/>
    </row>
    <row r="262" spans="1:29" x14ac:dyDescent="0.3">
      <c r="A262" s="2" t="str">
        <f>HYPERLINK("https://www.cadth.ca/node/109123", "Folotyn")</f>
        <v>Folotyn</v>
      </c>
      <c r="B262" t="s">
        <v>919</v>
      </c>
      <c r="C262" t="s">
        <v>920</v>
      </c>
      <c r="D262" t="s">
        <v>55</v>
      </c>
      <c r="E262" t="s">
        <v>40</v>
      </c>
      <c r="F262" s="3">
        <v>43252</v>
      </c>
      <c r="G262" s="3">
        <v>43559</v>
      </c>
      <c r="H262" t="s">
        <v>921</v>
      </c>
      <c r="I262" t="s">
        <v>33</v>
      </c>
      <c r="J262" t="s">
        <v>922</v>
      </c>
      <c r="K262" t="s">
        <v>96</v>
      </c>
      <c r="L262" t="s">
        <v>923</v>
      </c>
      <c r="M262" t="s">
        <v>60</v>
      </c>
      <c r="N262" s="3">
        <v>43399</v>
      </c>
      <c r="O262" t="s">
        <v>372</v>
      </c>
      <c r="P262" t="s">
        <v>372</v>
      </c>
      <c r="Q262" s="3"/>
      <c r="R262" s="3"/>
      <c r="S262" s="3">
        <v>43259</v>
      </c>
      <c r="U262" t="s">
        <v>214</v>
      </c>
      <c r="V262" s="3">
        <v>43266</v>
      </c>
      <c r="W262" s="3">
        <v>43319</v>
      </c>
      <c r="X262" s="3">
        <v>43482</v>
      </c>
      <c r="Y262" s="3">
        <v>43496</v>
      </c>
      <c r="Z262" s="3">
        <v>43510</v>
      </c>
      <c r="AA262" s="3"/>
      <c r="AB262" s="3">
        <v>43577</v>
      </c>
      <c r="AC262" t="s">
        <v>924</v>
      </c>
    </row>
    <row r="263" spans="1:29" x14ac:dyDescent="0.3">
      <c r="A263" s="2" t="str">
        <f>HYPERLINK("https://www.cadth.ca/teriparatide-rdna-origin-injection-3", "Forteo")</f>
        <v>Forteo</v>
      </c>
      <c r="B263" t="s">
        <v>925</v>
      </c>
      <c r="C263" t="s">
        <v>72</v>
      </c>
      <c r="E263" t="s">
        <v>113</v>
      </c>
      <c r="F263" s="3">
        <v>39976</v>
      </c>
      <c r="G263" s="3"/>
      <c r="H263" t="s">
        <v>926</v>
      </c>
      <c r="I263" t="s">
        <v>33</v>
      </c>
      <c r="N263" s="3"/>
      <c r="O263" t="s">
        <v>133</v>
      </c>
      <c r="Q263" s="3"/>
      <c r="R263" s="3"/>
      <c r="S263" s="3"/>
      <c r="T263" t="s">
        <v>142</v>
      </c>
      <c r="V263" s="3"/>
      <c r="W263" s="3"/>
      <c r="X263" s="3"/>
      <c r="Y263" s="3"/>
      <c r="Z263" s="3"/>
      <c r="AA263" s="3"/>
      <c r="AB263" s="3"/>
    </row>
    <row r="264" spans="1:29" x14ac:dyDescent="0.3">
      <c r="A264" s="2" t="str">
        <f>HYPERLINK("https://www.cadth.ca/teriparatide-rdna-origin-injection-0", "Forteo")</f>
        <v>Forteo</v>
      </c>
      <c r="B264" t="s">
        <v>925</v>
      </c>
      <c r="C264" t="s">
        <v>72</v>
      </c>
      <c r="E264" t="s">
        <v>113</v>
      </c>
      <c r="F264" s="3">
        <v>38866</v>
      </c>
      <c r="G264" s="3"/>
      <c r="H264" t="s">
        <v>927</v>
      </c>
      <c r="I264" t="s">
        <v>33</v>
      </c>
      <c r="N264" s="3"/>
      <c r="O264" t="s">
        <v>133</v>
      </c>
      <c r="Q264" s="3"/>
      <c r="R264" s="3"/>
      <c r="S264" s="3"/>
      <c r="T264" t="s">
        <v>142</v>
      </c>
      <c r="V264" s="3"/>
      <c r="W264" s="3"/>
      <c r="X264" s="3"/>
      <c r="Y264" s="3"/>
      <c r="Z264" s="3"/>
      <c r="AA264" s="3"/>
      <c r="AB264" s="3"/>
    </row>
    <row r="265" spans="1:29" x14ac:dyDescent="0.3">
      <c r="A265" s="2" t="str">
        <f>HYPERLINK("https://www.cadth.ca/teriparatide-rdna-origin-injection", "Forteo")</f>
        <v>Forteo</v>
      </c>
      <c r="B265" t="s">
        <v>925</v>
      </c>
      <c r="C265" t="s">
        <v>72</v>
      </c>
      <c r="D265" t="s">
        <v>39</v>
      </c>
      <c r="E265" t="s">
        <v>40</v>
      </c>
      <c r="F265" s="3">
        <v>38146</v>
      </c>
      <c r="G265" s="3">
        <v>38343</v>
      </c>
      <c r="H265" t="s">
        <v>928</v>
      </c>
      <c r="I265" t="s">
        <v>33</v>
      </c>
      <c r="N265" s="3"/>
      <c r="O265" t="s">
        <v>133</v>
      </c>
      <c r="Q265" s="3"/>
      <c r="R265" s="3"/>
      <c r="S265" s="3"/>
      <c r="T265" t="s">
        <v>36</v>
      </c>
      <c r="V265" s="3"/>
      <c r="W265" s="3"/>
      <c r="X265" s="3"/>
      <c r="Y265" s="3"/>
      <c r="Z265" s="3"/>
      <c r="AA265" s="3"/>
      <c r="AB265" s="3"/>
    </row>
    <row r="266" spans="1:29" x14ac:dyDescent="0.3">
      <c r="A266" s="2" t="str">
        <f>HYPERLINK("https://www.cadth.ca/teriparatide-rdna-origin-injection-1", "Forteo")</f>
        <v>Forteo</v>
      </c>
      <c r="B266" t="s">
        <v>925</v>
      </c>
      <c r="C266" t="s">
        <v>929</v>
      </c>
      <c r="D266" t="s">
        <v>39</v>
      </c>
      <c r="E266" t="s">
        <v>40</v>
      </c>
      <c r="F266" s="3">
        <v>39800</v>
      </c>
      <c r="G266" s="3">
        <v>40016</v>
      </c>
      <c r="H266" t="s">
        <v>930</v>
      </c>
      <c r="I266" t="s">
        <v>33</v>
      </c>
      <c r="N266" s="3"/>
      <c r="O266" t="s">
        <v>133</v>
      </c>
      <c r="Q266" s="3"/>
      <c r="R266" s="3"/>
      <c r="S266" s="3"/>
      <c r="T266" t="s">
        <v>36</v>
      </c>
      <c r="V266" s="3"/>
      <c r="W266" s="3"/>
      <c r="X266" s="3"/>
      <c r="Y266" s="3"/>
      <c r="Z266" s="3"/>
      <c r="AA266" s="3"/>
      <c r="AB266" s="3"/>
    </row>
    <row r="267" spans="1:29" x14ac:dyDescent="0.3">
      <c r="A267" s="2" t="str">
        <f>HYPERLINK("https://www.cadth.ca/teriparatide-rdna-origin-injection-2", "Forteo")</f>
        <v>Forteo</v>
      </c>
      <c r="B267" t="s">
        <v>925</v>
      </c>
      <c r="C267" t="s">
        <v>72</v>
      </c>
      <c r="E267" t="s">
        <v>113</v>
      </c>
      <c r="F267" s="3">
        <v>39800</v>
      </c>
      <c r="G267" s="3"/>
      <c r="H267" t="s">
        <v>931</v>
      </c>
      <c r="I267" t="s">
        <v>33</v>
      </c>
      <c r="N267" s="3"/>
      <c r="O267" t="s">
        <v>133</v>
      </c>
      <c r="Q267" s="3"/>
      <c r="R267" s="3"/>
      <c r="S267" s="3"/>
      <c r="T267" t="s">
        <v>142</v>
      </c>
      <c r="V267" s="3"/>
      <c r="W267" s="3"/>
      <c r="X267" s="3"/>
      <c r="Y267" s="3"/>
      <c r="Z267" s="3"/>
      <c r="AA267" s="3"/>
      <c r="AB267" s="3"/>
    </row>
    <row r="268" spans="1:29" x14ac:dyDescent="0.3">
      <c r="A268" s="2" t="str">
        <f>HYPERLINK("https://www.cadth.ca/teriparatide-rdna-origin-injection-4", "Forteo")</f>
        <v>Forteo</v>
      </c>
      <c r="B268" t="s">
        <v>925</v>
      </c>
      <c r="C268" t="s">
        <v>932</v>
      </c>
      <c r="D268" t="s">
        <v>39</v>
      </c>
      <c r="E268" t="s">
        <v>40</v>
      </c>
      <c r="F268" s="3">
        <v>40109</v>
      </c>
      <c r="G268" s="3">
        <v>40254</v>
      </c>
      <c r="H268" t="s">
        <v>933</v>
      </c>
      <c r="I268" t="s">
        <v>33</v>
      </c>
      <c r="N268" s="3"/>
      <c r="O268" t="s">
        <v>133</v>
      </c>
      <c r="Q268" s="3"/>
      <c r="R268" s="3"/>
      <c r="S268" s="3"/>
      <c r="T268" t="s">
        <v>726</v>
      </c>
      <c r="V268" s="3"/>
      <c r="W268" s="3"/>
      <c r="X268" s="3"/>
      <c r="Y268" s="3"/>
      <c r="Z268" s="3"/>
      <c r="AA268" s="3"/>
      <c r="AB268" s="3"/>
    </row>
    <row r="269" spans="1:29" x14ac:dyDescent="0.3">
      <c r="A269" s="2" t="str">
        <f>HYPERLINK("https://www.cadth.ca/dapagliflozin", "Forxiga")</f>
        <v>Forxiga</v>
      </c>
      <c r="B269" t="s">
        <v>934</v>
      </c>
      <c r="C269" t="s">
        <v>496</v>
      </c>
      <c r="D269" t="s">
        <v>46</v>
      </c>
      <c r="E269" t="s">
        <v>40</v>
      </c>
      <c r="F269" s="3">
        <v>42124</v>
      </c>
      <c r="G269" s="3">
        <v>42328</v>
      </c>
      <c r="H269" t="s">
        <v>935</v>
      </c>
      <c r="I269" t="s">
        <v>33</v>
      </c>
      <c r="N269" s="3"/>
      <c r="O269" t="s">
        <v>465</v>
      </c>
      <c r="Q269" s="3"/>
      <c r="R269" s="3"/>
      <c r="S269" s="3"/>
      <c r="T269" t="s">
        <v>36</v>
      </c>
      <c r="V269" s="3"/>
      <c r="W269" s="3"/>
      <c r="X269" s="3"/>
      <c r="Y269" s="3"/>
      <c r="Z269" s="3"/>
      <c r="AA269" s="3"/>
      <c r="AB269" s="3"/>
    </row>
    <row r="270" spans="1:29" x14ac:dyDescent="0.3">
      <c r="A270" s="2" t="str">
        <f>HYPERLINK("https://www.cadth.ca/dapagliflozin-0", "Forxiga")</f>
        <v>Forxiga</v>
      </c>
      <c r="B270" t="s">
        <v>934</v>
      </c>
      <c r="C270" t="s">
        <v>496</v>
      </c>
      <c r="D270" t="s">
        <v>39</v>
      </c>
      <c r="E270" t="s">
        <v>40</v>
      </c>
      <c r="F270" s="3">
        <v>42251</v>
      </c>
      <c r="G270" s="3">
        <v>42487</v>
      </c>
      <c r="H270" t="s">
        <v>936</v>
      </c>
      <c r="I270" t="s">
        <v>33</v>
      </c>
      <c r="N270" s="3"/>
      <c r="O270" t="s">
        <v>465</v>
      </c>
      <c r="Q270" s="3"/>
      <c r="R270" s="3"/>
      <c r="S270" s="3"/>
      <c r="T270" t="s">
        <v>36</v>
      </c>
      <c r="V270" s="3"/>
      <c r="W270" s="3"/>
      <c r="X270" s="3"/>
      <c r="Y270" s="3"/>
      <c r="Z270" s="3"/>
      <c r="AA270" s="3"/>
      <c r="AB270" s="3"/>
    </row>
    <row r="271" spans="1:29" x14ac:dyDescent="0.3">
      <c r="A271" s="2" t="str">
        <f>HYPERLINK("https://www.cadth.ca/dapagliflozin-1", "Forxiga")</f>
        <v>Forxiga</v>
      </c>
      <c r="B271" t="s">
        <v>937</v>
      </c>
      <c r="C271" t="s">
        <v>938</v>
      </c>
      <c r="D271" t="s">
        <v>55</v>
      </c>
      <c r="E271" t="s">
        <v>40</v>
      </c>
      <c r="F271" s="3">
        <v>43921</v>
      </c>
      <c r="G271" s="3">
        <v>44188</v>
      </c>
      <c r="H271" t="s">
        <v>939</v>
      </c>
      <c r="I271" t="s">
        <v>33</v>
      </c>
      <c r="N271" s="3"/>
      <c r="O271" t="s">
        <v>465</v>
      </c>
      <c r="Q271" s="3"/>
      <c r="R271" s="3"/>
      <c r="S271" s="3"/>
      <c r="T271" t="s">
        <v>36</v>
      </c>
      <c r="V271" s="3"/>
      <c r="W271" s="3"/>
      <c r="X271" s="3"/>
      <c r="Y271" s="3"/>
      <c r="Z271" s="3"/>
      <c r="AA271" s="3"/>
      <c r="AB271" s="3"/>
    </row>
    <row r="272" spans="1:29" x14ac:dyDescent="0.3">
      <c r="A272" s="2" t="str">
        <f>HYPERLINK("https://www.cadth.ca/alendronate-sodiumcholecalciferol", "Fosavance")</f>
        <v>Fosavance</v>
      </c>
      <c r="B272" t="s">
        <v>940</v>
      </c>
      <c r="C272" t="s">
        <v>72</v>
      </c>
      <c r="D272" t="s">
        <v>39</v>
      </c>
      <c r="E272" t="s">
        <v>40</v>
      </c>
      <c r="F272" s="3">
        <v>38803</v>
      </c>
      <c r="G272" s="3">
        <v>38987</v>
      </c>
      <c r="H272" t="s">
        <v>941</v>
      </c>
      <c r="I272" t="s">
        <v>33</v>
      </c>
      <c r="N272" s="3"/>
      <c r="O272" t="s">
        <v>942</v>
      </c>
      <c r="Q272" s="3"/>
      <c r="R272" s="3"/>
      <c r="S272" s="3"/>
      <c r="T272" t="s">
        <v>36</v>
      </c>
      <c r="V272" s="3"/>
      <c r="W272" s="3"/>
      <c r="X272" s="3"/>
      <c r="Y272" s="3"/>
      <c r="Z272" s="3"/>
      <c r="AA272" s="3"/>
      <c r="AB272" s="3"/>
    </row>
    <row r="273" spans="1:29" x14ac:dyDescent="0.3">
      <c r="A273" s="2" t="str">
        <f>HYPERLINK("https://www.cadth.ca/alendronate-sodium-cholecalciferol", "Fosavance 70/5600")</f>
        <v>Fosavance 70/5600</v>
      </c>
      <c r="B273" t="s">
        <v>943</v>
      </c>
      <c r="C273" t="s">
        <v>72</v>
      </c>
      <c r="D273" t="s">
        <v>262</v>
      </c>
      <c r="E273" t="s">
        <v>40</v>
      </c>
      <c r="F273" s="3">
        <v>39800</v>
      </c>
      <c r="G273" s="3">
        <v>39981</v>
      </c>
      <c r="H273" t="s">
        <v>944</v>
      </c>
      <c r="I273" t="s">
        <v>33</v>
      </c>
      <c r="N273" s="3"/>
      <c r="O273" t="s">
        <v>942</v>
      </c>
      <c r="Q273" s="3"/>
      <c r="R273" s="3"/>
      <c r="S273" s="3"/>
      <c r="T273" t="s">
        <v>36</v>
      </c>
      <c r="V273" s="3"/>
      <c r="W273" s="3"/>
      <c r="X273" s="3"/>
      <c r="Y273" s="3"/>
      <c r="Z273" s="3"/>
      <c r="AA273" s="3"/>
      <c r="AB273" s="3"/>
    </row>
    <row r="274" spans="1:29" x14ac:dyDescent="0.3">
      <c r="A274" s="2" t="str">
        <f>HYPERLINK("https://www.cadth.ca/lanthanum-carbonate-hydrate", "Fosrenol")</f>
        <v>Fosrenol</v>
      </c>
      <c r="B274" t="s">
        <v>945</v>
      </c>
      <c r="C274" t="s">
        <v>946</v>
      </c>
      <c r="D274" t="s">
        <v>39</v>
      </c>
      <c r="E274" t="s">
        <v>40</v>
      </c>
      <c r="F274" s="3">
        <v>39261</v>
      </c>
      <c r="G274" s="3">
        <v>39477</v>
      </c>
      <c r="H274" t="s">
        <v>947</v>
      </c>
      <c r="I274" t="s">
        <v>33</v>
      </c>
      <c r="N274" s="3"/>
      <c r="O274" t="s">
        <v>137</v>
      </c>
      <c r="Q274" s="3"/>
      <c r="R274" s="3"/>
      <c r="S274" s="3"/>
      <c r="T274" t="s">
        <v>36</v>
      </c>
      <c r="V274" s="3"/>
      <c r="W274" s="3"/>
      <c r="X274" s="3"/>
      <c r="Y274" s="3"/>
      <c r="Z274" s="3"/>
      <c r="AA274" s="3"/>
      <c r="AB274" s="3"/>
    </row>
    <row r="275" spans="1:29" x14ac:dyDescent="0.3">
      <c r="A275" s="2" t="str">
        <f>HYPERLINK("https://www.cadth.ca/pegfilgrastim-1", "Fulphila")</f>
        <v>Fulphila</v>
      </c>
      <c r="B275" t="s">
        <v>948</v>
      </c>
      <c r="C275" t="s">
        <v>949</v>
      </c>
      <c r="E275" t="s">
        <v>40</v>
      </c>
      <c r="F275" s="3">
        <v>43418</v>
      </c>
      <c r="G275" s="3"/>
      <c r="H275" t="s">
        <v>950</v>
      </c>
      <c r="I275" t="s">
        <v>33</v>
      </c>
      <c r="N275" s="3"/>
      <c r="O275" t="s">
        <v>951</v>
      </c>
      <c r="Q275" s="3"/>
      <c r="R275" s="3"/>
      <c r="S275" s="3"/>
      <c r="T275" t="s">
        <v>36</v>
      </c>
      <c r="V275" s="3"/>
      <c r="W275" s="3"/>
      <c r="X275" s="3"/>
      <c r="Y275" s="3"/>
      <c r="Z275" s="3"/>
      <c r="AA275" s="3"/>
      <c r="AB275" s="3"/>
    </row>
    <row r="276" spans="1:29" x14ac:dyDescent="0.3">
      <c r="A276" s="2" t="str">
        <f>HYPERLINK("https://www.cadth.ca/perampanel", "Fycompa")</f>
        <v>Fycompa</v>
      </c>
      <c r="B276" t="s">
        <v>952</v>
      </c>
      <c r="C276" t="s">
        <v>953</v>
      </c>
      <c r="D276" t="s">
        <v>50</v>
      </c>
      <c r="E276" t="s">
        <v>40</v>
      </c>
      <c r="F276" s="3">
        <v>41341</v>
      </c>
      <c r="G276" s="3">
        <v>41564</v>
      </c>
      <c r="H276" t="s">
        <v>954</v>
      </c>
      <c r="I276" t="s">
        <v>33</v>
      </c>
      <c r="N276" s="3"/>
      <c r="O276" t="s">
        <v>227</v>
      </c>
      <c r="Q276" s="3"/>
      <c r="R276" s="3"/>
      <c r="S276" s="3"/>
      <c r="T276" t="s">
        <v>36</v>
      </c>
      <c r="V276" s="3"/>
      <c r="W276" s="3"/>
      <c r="X276" s="3"/>
      <c r="Y276" s="3"/>
      <c r="Z276" s="3"/>
      <c r="AA276" s="3"/>
      <c r="AB276" s="3"/>
    </row>
    <row r="277" spans="1:29" x14ac:dyDescent="0.3">
      <c r="A277" s="2" t="str">
        <f>HYPERLINK("https://www.cadth.ca/perampanel-0", "Fycompa")</f>
        <v>Fycompa</v>
      </c>
      <c r="B277" t="s">
        <v>952</v>
      </c>
      <c r="C277" t="s">
        <v>955</v>
      </c>
      <c r="D277" t="s">
        <v>55</v>
      </c>
      <c r="E277" t="s">
        <v>40</v>
      </c>
      <c r="F277" s="3">
        <v>42332</v>
      </c>
      <c r="G277" s="3">
        <v>42508</v>
      </c>
      <c r="H277" t="s">
        <v>956</v>
      </c>
      <c r="I277" t="s">
        <v>33</v>
      </c>
      <c r="N277" s="3"/>
      <c r="O277" t="s">
        <v>224</v>
      </c>
      <c r="Q277" s="3"/>
      <c r="R277" s="3"/>
      <c r="S277" s="3"/>
      <c r="T277" t="s">
        <v>36</v>
      </c>
      <c r="V277" s="3"/>
      <c r="W277" s="3"/>
      <c r="X277" s="3"/>
      <c r="Y277" s="3"/>
      <c r="Z277" s="3"/>
      <c r="AA277" s="3"/>
      <c r="AB277" s="3"/>
    </row>
    <row r="278" spans="1:29" x14ac:dyDescent="0.3">
      <c r="A278" s="2" t="str">
        <f>HYPERLINK("https://www.cadth.ca/migalastat", "Galafold")</f>
        <v>Galafold</v>
      </c>
      <c r="B278" t="s">
        <v>957</v>
      </c>
      <c r="C278" t="s">
        <v>882</v>
      </c>
      <c r="D278" t="s">
        <v>55</v>
      </c>
      <c r="E278" t="s">
        <v>40</v>
      </c>
      <c r="F278" s="3">
        <v>42895</v>
      </c>
      <c r="G278" s="3">
        <v>43124</v>
      </c>
      <c r="H278" t="s">
        <v>958</v>
      </c>
      <c r="I278" t="s">
        <v>33</v>
      </c>
      <c r="N278" s="3"/>
      <c r="O278" t="s">
        <v>959</v>
      </c>
      <c r="Q278" s="3"/>
      <c r="R278" s="3"/>
      <c r="S278" s="3"/>
      <c r="T278" t="s">
        <v>36</v>
      </c>
      <c r="V278" s="3"/>
      <c r="W278" s="3"/>
      <c r="X278" s="3"/>
      <c r="Y278" s="3"/>
      <c r="Z278" s="3"/>
      <c r="AA278" s="3"/>
      <c r="AB278" s="3"/>
    </row>
    <row r="279" spans="1:29" x14ac:dyDescent="0.3">
      <c r="A279" s="2" t="str">
        <f>HYPERLINK("https://www.cadth.ca/simeprevir", "Galexos")</f>
        <v>Galexos</v>
      </c>
      <c r="B279" t="s">
        <v>960</v>
      </c>
      <c r="C279" t="s">
        <v>825</v>
      </c>
      <c r="D279" t="s">
        <v>50</v>
      </c>
      <c r="E279" t="s">
        <v>40</v>
      </c>
      <c r="F279" s="3">
        <v>41508</v>
      </c>
      <c r="G279" s="3">
        <v>41808</v>
      </c>
      <c r="H279" t="s">
        <v>961</v>
      </c>
      <c r="I279" t="s">
        <v>33</v>
      </c>
      <c r="N279" s="3"/>
      <c r="O279" t="s">
        <v>665</v>
      </c>
      <c r="Q279" s="3"/>
      <c r="R279" s="3"/>
      <c r="S279" s="3"/>
      <c r="T279" t="s">
        <v>36</v>
      </c>
      <c r="V279" s="3"/>
      <c r="W279" s="3"/>
      <c r="X279" s="3"/>
      <c r="Y279" s="3"/>
      <c r="Z279" s="3"/>
      <c r="AA279" s="3"/>
      <c r="AB279" s="3"/>
    </row>
    <row r="280" spans="1:29" x14ac:dyDescent="0.3">
      <c r="A280" s="2" t="str">
        <f>HYPERLINK("https://www.cadth.ca/node/79653", "Gazyva")</f>
        <v>Gazyva</v>
      </c>
      <c r="B280" t="s">
        <v>962</v>
      </c>
      <c r="C280" t="s">
        <v>281</v>
      </c>
      <c r="D280" t="s">
        <v>109</v>
      </c>
      <c r="E280" t="s">
        <v>40</v>
      </c>
      <c r="F280" s="3">
        <v>41862</v>
      </c>
      <c r="G280" s="3">
        <v>42031</v>
      </c>
      <c r="H280" t="s">
        <v>963</v>
      </c>
      <c r="I280" t="s">
        <v>33</v>
      </c>
      <c r="J280" t="s">
        <v>964</v>
      </c>
      <c r="K280" t="s">
        <v>284</v>
      </c>
      <c r="L280" t="s">
        <v>965</v>
      </c>
      <c r="M280" t="s">
        <v>60</v>
      </c>
      <c r="N280" s="3">
        <v>41968</v>
      </c>
      <c r="O280" t="s">
        <v>80</v>
      </c>
      <c r="P280" t="s">
        <v>80</v>
      </c>
      <c r="Q280" s="3"/>
      <c r="R280" s="3"/>
      <c r="S280" s="3">
        <v>41869</v>
      </c>
      <c r="U280" t="s">
        <v>99</v>
      </c>
      <c r="V280" s="3">
        <v>41876</v>
      </c>
      <c r="W280" s="3">
        <v>41913</v>
      </c>
      <c r="X280" s="3">
        <v>41991</v>
      </c>
      <c r="Y280" s="3">
        <v>42013</v>
      </c>
      <c r="Z280" s="3">
        <v>42027</v>
      </c>
      <c r="AA280" s="3"/>
      <c r="AB280" s="3">
        <v>42046</v>
      </c>
      <c r="AC280" t="s">
        <v>966</v>
      </c>
    </row>
    <row r="281" spans="1:29" x14ac:dyDescent="0.3">
      <c r="A281" s="2" t="str">
        <f>HYPERLINK("https://www.cadth.ca/node/97235", "Gazyva")</f>
        <v>Gazyva</v>
      </c>
      <c r="B281" t="s">
        <v>962</v>
      </c>
      <c r="C281" t="s">
        <v>967</v>
      </c>
      <c r="D281" t="s">
        <v>55</v>
      </c>
      <c r="E281" t="s">
        <v>40</v>
      </c>
      <c r="F281" s="3">
        <v>42678</v>
      </c>
      <c r="G281" s="3">
        <v>42888</v>
      </c>
      <c r="H281" t="s">
        <v>968</v>
      </c>
      <c r="I281" t="s">
        <v>33</v>
      </c>
      <c r="J281" t="s">
        <v>969</v>
      </c>
      <c r="K281" t="s">
        <v>96</v>
      </c>
      <c r="L281" t="s">
        <v>970</v>
      </c>
      <c r="M281" t="s">
        <v>60</v>
      </c>
      <c r="N281" s="3">
        <v>42733</v>
      </c>
      <c r="O281" t="s">
        <v>80</v>
      </c>
      <c r="P281" t="s">
        <v>80</v>
      </c>
      <c r="Q281" s="3"/>
      <c r="R281" s="3"/>
      <c r="S281" s="3"/>
      <c r="U281" t="s">
        <v>99</v>
      </c>
      <c r="V281" s="3">
        <v>42692</v>
      </c>
      <c r="W281" s="3">
        <v>42753</v>
      </c>
      <c r="X281" s="3">
        <v>42810</v>
      </c>
      <c r="Y281" s="3">
        <v>42824</v>
      </c>
      <c r="Z281" s="3">
        <v>42838</v>
      </c>
      <c r="AA281" s="3"/>
      <c r="AB281" s="3">
        <v>42905</v>
      </c>
    </row>
    <row r="282" spans="1:29" x14ac:dyDescent="0.3">
      <c r="A282" s="2" t="str">
        <f>HYPERLINK("https://www.cadth.ca/node/107841", "Gazyva")</f>
        <v>Gazyva</v>
      </c>
      <c r="B282" t="s">
        <v>962</v>
      </c>
      <c r="C282" t="s">
        <v>971</v>
      </c>
      <c r="D282" t="s">
        <v>127</v>
      </c>
      <c r="E282" t="s">
        <v>40</v>
      </c>
      <c r="F282" s="3">
        <v>43174</v>
      </c>
      <c r="G282" s="3">
        <v>43405</v>
      </c>
      <c r="H282" t="s">
        <v>972</v>
      </c>
      <c r="I282" t="s">
        <v>33</v>
      </c>
      <c r="J282" t="s">
        <v>326</v>
      </c>
      <c r="K282" t="s">
        <v>96</v>
      </c>
      <c r="L282" t="s">
        <v>973</v>
      </c>
      <c r="M282" t="s">
        <v>60</v>
      </c>
      <c r="N282" s="3">
        <v>43286</v>
      </c>
      <c r="O282" t="s">
        <v>80</v>
      </c>
      <c r="P282" t="s">
        <v>80</v>
      </c>
      <c r="Q282" s="3"/>
      <c r="R282" s="3"/>
      <c r="S282" s="3">
        <v>43181</v>
      </c>
      <c r="U282" t="s">
        <v>214</v>
      </c>
      <c r="V282" s="3">
        <v>43188</v>
      </c>
      <c r="W282" s="3">
        <v>43228</v>
      </c>
      <c r="X282" s="3">
        <v>43328</v>
      </c>
      <c r="Y282" s="3">
        <v>43342</v>
      </c>
      <c r="Z282" s="3">
        <v>43357</v>
      </c>
      <c r="AA282" s="3"/>
      <c r="AB282" s="3">
        <v>43420</v>
      </c>
    </row>
    <row r="283" spans="1:29" x14ac:dyDescent="0.3">
      <c r="A283" s="2" t="str">
        <f>HYPERLINK("https://www.cadth.ca/oxybutynin-chloride-gel", "Gelnique")</f>
        <v>Gelnique</v>
      </c>
      <c r="B283" t="s">
        <v>974</v>
      </c>
      <c r="C283" t="s">
        <v>975</v>
      </c>
      <c r="D283" t="s">
        <v>39</v>
      </c>
      <c r="E283" t="s">
        <v>40</v>
      </c>
      <c r="F283" s="3">
        <v>40841</v>
      </c>
      <c r="G283" s="3">
        <v>41053</v>
      </c>
      <c r="H283" t="s">
        <v>976</v>
      </c>
      <c r="I283" t="s">
        <v>33</v>
      </c>
      <c r="N283" s="3"/>
      <c r="O283" t="s">
        <v>977</v>
      </c>
      <c r="Q283" s="3"/>
      <c r="R283" s="3"/>
      <c r="S283" s="3"/>
      <c r="T283" t="s">
        <v>36</v>
      </c>
      <c r="V283" s="3"/>
      <c r="W283" s="3"/>
      <c r="X283" s="3"/>
      <c r="Y283" s="3"/>
      <c r="Z283" s="3"/>
      <c r="AA283" s="3"/>
      <c r="AB283" s="3"/>
    </row>
    <row r="284" spans="1:29" x14ac:dyDescent="0.3">
      <c r="A284" s="2" t="str">
        <f>HYPERLINK("https://www.cadth.ca/somatropin-0", "Genotropin")</f>
        <v>Genotropin</v>
      </c>
      <c r="B284" t="s">
        <v>978</v>
      </c>
      <c r="C284" t="s">
        <v>979</v>
      </c>
      <c r="D284" t="s">
        <v>50</v>
      </c>
      <c r="E284" t="s">
        <v>40</v>
      </c>
      <c r="F284" s="3">
        <v>41421</v>
      </c>
      <c r="G284" s="3">
        <v>41628</v>
      </c>
      <c r="H284" t="s">
        <v>980</v>
      </c>
      <c r="I284" t="s">
        <v>33</v>
      </c>
      <c r="N284" s="3"/>
      <c r="O284" t="s">
        <v>387</v>
      </c>
      <c r="Q284" s="3"/>
      <c r="R284" s="3"/>
      <c r="S284" s="3"/>
      <c r="T284" t="s">
        <v>36</v>
      </c>
      <c r="V284" s="3"/>
      <c r="W284" s="3"/>
      <c r="X284" s="3"/>
      <c r="Y284" s="3"/>
      <c r="Z284" s="3"/>
      <c r="AA284" s="3"/>
      <c r="AB284" s="3"/>
    </row>
    <row r="285" spans="1:29" x14ac:dyDescent="0.3">
      <c r="A285" s="2" t="str">
        <f>HYPERLINK("https://www.cadth.ca/somatropin-1", "Genotropin")</f>
        <v>Genotropin</v>
      </c>
      <c r="B285" t="s">
        <v>978</v>
      </c>
      <c r="C285" t="s">
        <v>981</v>
      </c>
      <c r="D285" t="s">
        <v>50</v>
      </c>
      <c r="E285" t="s">
        <v>40</v>
      </c>
      <c r="F285" s="3">
        <v>41421</v>
      </c>
      <c r="G285" s="3">
        <v>41628</v>
      </c>
      <c r="H285" t="s">
        <v>982</v>
      </c>
      <c r="I285" t="s">
        <v>33</v>
      </c>
      <c r="N285" s="3"/>
      <c r="O285" t="s">
        <v>387</v>
      </c>
      <c r="Q285" s="3"/>
      <c r="R285" s="3"/>
      <c r="S285" s="3"/>
      <c r="T285" t="s">
        <v>36</v>
      </c>
      <c r="V285" s="3"/>
      <c r="W285" s="3"/>
      <c r="X285" s="3"/>
      <c r="Y285" s="3"/>
      <c r="Z285" s="3"/>
      <c r="AA285" s="3"/>
      <c r="AB285" s="3"/>
    </row>
    <row r="286" spans="1:29" x14ac:dyDescent="0.3">
      <c r="A286" s="2" t="str">
        <f>HYPERLINK("https://www.cadth.ca/somatropin", "Genotropin")</f>
        <v>Genotropin</v>
      </c>
      <c r="B286" t="s">
        <v>978</v>
      </c>
      <c r="C286" t="s">
        <v>983</v>
      </c>
      <c r="D286" t="s">
        <v>50</v>
      </c>
      <c r="E286" t="s">
        <v>40</v>
      </c>
      <c r="F286" s="3">
        <v>41421</v>
      </c>
      <c r="G286" s="3">
        <v>41628</v>
      </c>
      <c r="H286" t="s">
        <v>984</v>
      </c>
      <c r="I286" t="s">
        <v>33</v>
      </c>
      <c r="N286" s="3"/>
      <c r="O286" t="s">
        <v>387</v>
      </c>
      <c r="Q286" s="3"/>
      <c r="R286" s="3"/>
      <c r="S286" s="3"/>
      <c r="T286" t="s">
        <v>36</v>
      </c>
      <c r="V286" s="3"/>
      <c r="W286" s="3"/>
      <c r="X286" s="3"/>
      <c r="Y286" s="3"/>
      <c r="Z286" s="3"/>
      <c r="AA286" s="3"/>
      <c r="AB286" s="3"/>
    </row>
    <row r="287" spans="1:29" x14ac:dyDescent="0.3">
      <c r="A287" s="2" t="str">
        <f>HYPERLINK("https://www.cadth.ca/elvitegravircobicistatemtricitabinetenofovir-alafenamide", "Genvoya")</f>
        <v>Genvoya</v>
      </c>
      <c r="B287" t="s">
        <v>985</v>
      </c>
      <c r="C287" t="s">
        <v>273</v>
      </c>
      <c r="D287" t="s">
        <v>160</v>
      </c>
      <c r="E287" t="s">
        <v>40</v>
      </c>
      <c r="F287" s="3">
        <v>42271</v>
      </c>
      <c r="G287" s="3">
        <v>42447</v>
      </c>
      <c r="H287" t="s">
        <v>986</v>
      </c>
      <c r="I287" t="s">
        <v>33</v>
      </c>
      <c r="N287" s="3"/>
      <c r="O287" t="s">
        <v>396</v>
      </c>
      <c r="Q287" s="3"/>
      <c r="R287" s="3"/>
      <c r="S287" s="3"/>
      <c r="T287" t="s">
        <v>36</v>
      </c>
      <c r="V287" s="3"/>
      <c r="W287" s="3"/>
      <c r="X287" s="3"/>
      <c r="Y287" s="3"/>
      <c r="Z287" s="3"/>
      <c r="AA287" s="3"/>
      <c r="AB287" s="3"/>
    </row>
    <row r="288" spans="1:29" x14ac:dyDescent="0.3">
      <c r="A288" s="2" t="str">
        <f>HYPERLINK("https://www.cadth.ca/fingolimod", "Gilenya")</f>
        <v>Gilenya</v>
      </c>
      <c r="B288" t="s">
        <v>987</v>
      </c>
      <c r="C288" t="s">
        <v>988</v>
      </c>
      <c r="D288" t="s">
        <v>46</v>
      </c>
      <c r="E288" t="s">
        <v>40</v>
      </c>
      <c r="F288" s="3">
        <v>40673</v>
      </c>
      <c r="G288" s="3">
        <v>40863</v>
      </c>
      <c r="H288" t="s">
        <v>989</v>
      </c>
      <c r="I288" t="s">
        <v>33</v>
      </c>
      <c r="N288" s="3"/>
      <c r="O288" t="s">
        <v>71</v>
      </c>
      <c r="Q288" s="3"/>
      <c r="R288" s="3"/>
      <c r="S288" s="3"/>
      <c r="T288" t="s">
        <v>36</v>
      </c>
      <c r="V288" s="3"/>
      <c r="W288" s="3"/>
      <c r="X288" s="3"/>
      <c r="Y288" s="3"/>
      <c r="Z288" s="3"/>
      <c r="AA288" s="3"/>
      <c r="AB288" s="3"/>
    </row>
    <row r="289" spans="1:29" x14ac:dyDescent="0.3">
      <c r="A289" s="2" t="str">
        <f>HYPERLINK("https://www.cadth.ca/node/79654", "Giotrif")</f>
        <v>Giotrif</v>
      </c>
      <c r="B289" t="s">
        <v>990</v>
      </c>
      <c r="C289" t="s">
        <v>991</v>
      </c>
      <c r="D289" t="s">
        <v>109</v>
      </c>
      <c r="E289" t="s">
        <v>40</v>
      </c>
      <c r="F289" s="3">
        <v>41432</v>
      </c>
      <c r="G289" s="3">
        <v>41761</v>
      </c>
      <c r="H289" t="s">
        <v>992</v>
      </c>
      <c r="I289" t="s">
        <v>33</v>
      </c>
      <c r="J289" t="s">
        <v>993</v>
      </c>
      <c r="K289" t="s">
        <v>205</v>
      </c>
      <c r="L289" t="s">
        <v>994</v>
      </c>
      <c r="M289" t="s">
        <v>60</v>
      </c>
      <c r="N289" s="3">
        <v>41579</v>
      </c>
      <c r="O289" t="s">
        <v>995</v>
      </c>
      <c r="P289" t="s">
        <v>995</v>
      </c>
      <c r="Q289" s="3"/>
      <c r="R289" s="3"/>
      <c r="S289" s="3">
        <v>41444</v>
      </c>
      <c r="U289" t="s">
        <v>62</v>
      </c>
      <c r="V289" s="3">
        <v>41446</v>
      </c>
      <c r="W289" s="3">
        <v>41547</v>
      </c>
      <c r="X289" s="3">
        <v>41690</v>
      </c>
      <c r="Y289" s="3">
        <v>41704</v>
      </c>
      <c r="Z289" s="3">
        <v>41718</v>
      </c>
      <c r="AA289" s="3"/>
      <c r="AB289" s="3">
        <v>41779</v>
      </c>
      <c r="AC289" t="s">
        <v>996</v>
      </c>
    </row>
    <row r="290" spans="1:29" x14ac:dyDescent="0.3">
      <c r="A290" s="2" t="str">
        <f>HYPERLINK("https://www.cadth.ca/givosiran", "Givlaari")</f>
        <v>Givlaari</v>
      </c>
      <c r="B290" t="s">
        <v>997</v>
      </c>
      <c r="C290" t="s">
        <v>998</v>
      </c>
      <c r="D290" t="s">
        <v>55</v>
      </c>
      <c r="E290" t="s">
        <v>31</v>
      </c>
      <c r="F290" s="3">
        <v>44250</v>
      </c>
      <c r="G290" s="3"/>
      <c r="H290" t="s">
        <v>999</v>
      </c>
      <c r="I290" t="s">
        <v>33</v>
      </c>
      <c r="N290" s="3"/>
      <c r="O290" t="s">
        <v>1000</v>
      </c>
      <c r="Q290" s="3"/>
      <c r="R290" s="3"/>
      <c r="S290" s="3"/>
      <c r="T290" t="s">
        <v>36</v>
      </c>
      <c r="V290" s="3"/>
      <c r="W290" s="3"/>
      <c r="X290" s="3"/>
      <c r="Y290" s="3"/>
      <c r="Z290" s="3"/>
      <c r="AA290" s="3"/>
      <c r="AB290" s="3"/>
    </row>
    <row r="291" spans="1:29" x14ac:dyDescent="0.3">
      <c r="A291" s="2" t="str">
        <f>HYPERLINK("https://www.cadth.ca/glatiramer-acetate-0", "Glatect")</f>
        <v>Glatect</v>
      </c>
      <c r="B291" t="s">
        <v>594</v>
      </c>
      <c r="C291" t="s">
        <v>1001</v>
      </c>
      <c r="D291" t="s">
        <v>55</v>
      </c>
      <c r="E291" t="s">
        <v>40</v>
      </c>
      <c r="F291" s="3">
        <v>42755</v>
      </c>
      <c r="G291" s="3">
        <v>42941</v>
      </c>
      <c r="H291" t="s">
        <v>1002</v>
      </c>
      <c r="I291" t="s">
        <v>33</v>
      </c>
      <c r="N291" s="3"/>
      <c r="O291" t="s">
        <v>1003</v>
      </c>
      <c r="Q291" s="3"/>
      <c r="R291" s="3"/>
      <c r="S291" s="3"/>
      <c r="T291" t="s">
        <v>36</v>
      </c>
      <c r="V291" s="3"/>
      <c r="W291" s="3"/>
      <c r="X291" s="3"/>
      <c r="Y291" s="3"/>
      <c r="Z291" s="3"/>
      <c r="AA291" s="3"/>
      <c r="AB291" s="3"/>
    </row>
    <row r="292" spans="1:29" x14ac:dyDescent="0.3">
      <c r="A292" s="2" t="str">
        <f>HYPERLINK("https://www.cadth.ca/phleum-pratense", "Grastek")</f>
        <v>Grastek</v>
      </c>
      <c r="B292" t="s">
        <v>1004</v>
      </c>
      <c r="C292" t="s">
        <v>1005</v>
      </c>
      <c r="D292" t="s">
        <v>39</v>
      </c>
      <c r="E292" t="s">
        <v>40</v>
      </c>
      <c r="F292" s="3">
        <v>41547</v>
      </c>
      <c r="G292" s="3">
        <v>41906</v>
      </c>
      <c r="H292" t="s">
        <v>1006</v>
      </c>
      <c r="I292" t="s">
        <v>33</v>
      </c>
      <c r="N292" s="3"/>
      <c r="O292" t="s">
        <v>289</v>
      </c>
      <c r="Q292" s="3"/>
      <c r="R292" s="3"/>
      <c r="S292" s="3"/>
      <c r="T292" t="s">
        <v>36</v>
      </c>
      <c r="V292" s="3"/>
      <c r="W292" s="3"/>
      <c r="X292" s="3"/>
      <c r="Y292" s="3"/>
      <c r="Z292" s="3"/>
      <c r="AA292" s="3"/>
      <c r="AB292" s="3"/>
    </row>
    <row r="293" spans="1:29" x14ac:dyDescent="0.3">
      <c r="A293" s="2" t="str">
        <f>HYPERLINK("https://www.cadth.ca/filgrastim", "Grastofil")</f>
        <v>Grastofil</v>
      </c>
      <c r="B293" t="s">
        <v>1007</v>
      </c>
      <c r="C293" t="s">
        <v>1008</v>
      </c>
      <c r="D293" t="s">
        <v>46</v>
      </c>
      <c r="E293" t="s">
        <v>40</v>
      </c>
      <c r="F293" s="3">
        <v>42258</v>
      </c>
      <c r="G293" s="3">
        <v>42447</v>
      </c>
      <c r="H293" t="s">
        <v>1009</v>
      </c>
      <c r="I293" t="s">
        <v>33</v>
      </c>
      <c r="N293" s="3"/>
      <c r="O293" t="s">
        <v>1010</v>
      </c>
      <c r="Q293" s="3"/>
      <c r="R293" s="3"/>
      <c r="S293" s="3"/>
      <c r="T293" t="s">
        <v>36</v>
      </c>
      <c r="V293" s="3"/>
      <c r="W293" s="3"/>
      <c r="X293" s="3"/>
      <c r="Y293" s="3"/>
      <c r="Z293" s="3"/>
      <c r="AA293" s="3"/>
      <c r="AB293" s="3"/>
    </row>
    <row r="294" spans="1:29" x14ac:dyDescent="0.3">
      <c r="A294" s="2" t="str">
        <f>HYPERLINK("https://www.cadth.ca/butoconazole-nitrate", "Gynazole.1")</f>
        <v>Gynazole.1</v>
      </c>
      <c r="B294" t="s">
        <v>1011</v>
      </c>
      <c r="C294" t="s">
        <v>1012</v>
      </c>
      <c r="D294" t="s">
        <v>39</v>
      </c>
      <c r="E294" t="s">
        <v>40</v>
      </c>
      <c r="F294" s="3">
        <v>38168</v>
      </c>
      <c r="G294" s="3">
        <v>38378</v>
      </c>
      <c r="H294" t="s">
        <v>1013</v>
      </c>
      <c r="I294" t="s">
        <v>33</v>
      </c>
      <c r="N294" s="3"/>
      <c r="O294" t="s">
        <v>1014</v>
      </c>
      <c r="Q294" s="3"/>
      <c r="R294" s="3"/>
      <c r="S294" s="3"/>
      <c r="T294" t="s">
        <v>36</v>
      </c>
      <c r="V294" s="3"/>
      <c r="W294" s="3"/>
      <c r="X294" s="3"/>
      <c r="Y294" s="3"/>
      <c r="Z294" s="3"/>
      <c r="AA294" s="3"/>
      <c r="AB294" s="3"/>
    </row>
    <row r="295" spans="1:29" x14ac:dyDescent="0.3">
      <c r="A295" s="2" t="str">
        <f>HYPERLINK("https://www.cadth.ca/node/79655", "Halaven")</f>
        <v>Halaven</v>
      </c>
      <c r="B295" t="s">
        <v>1015</v>
      </c>
      <c r="C295" t="s">
        <v>1016</v>
      </c>
      <c r="D295" t="s">
        <v>55</v>
      </c>
      <c r="E295" t="s">
        <v>40</v>
      </c>
      <c r="F295" s="3">
        <v>40948</v>
      </c>
      <c r="G295" s="3">
        <v>41123</v>
      </c>
      <c r="H295" t="s">
        <v>1017</v>
      </c>
      <c r="I295" t="s">
        <v>33</v>
      </c>
      <c r="J295" t="s">
        <v>1018</v>
      </c>
      <c r="K295" t="s">
        <v>177</v>
      </c>
      <c r="L295" t="s">
        <v>1019</v>
      </c>
      <c r="N295" s="3">
        <v>40891</v>
      </c>
      <c r="O295" t="s">
        <v>227</v>
      </c>
      <c r="P295" t="s">
        <v>227</v>
      </c>
      <c r="Q295" s="3"/>
      <c r="R295" s="3"/>
      <c r="S295" s="3">
        <v>40955</v>
      </c>
      <c r="U295" t="s">
        <v>62</v>
      </c>
      <c r="V295" s="3">
        <v>40963</v>
      </c>
      <c r="W295" s="3">
        <v>40996</v>
      </c>
      <c r="X295" s="3">
        <v>41046</v>
      </c>
      <c r="Y295" s="3">
        <v>41061</v>
      </c>
      <c r="Z295" s="3">
        <v>41075</v>
      </c>
      <c r="AA295" s="3"/>
      <c r="AB295" s="3">
        <v>41141</v>
      </c>
    </row>
    <row r="296" spans="1:29" x14ac:dyDescent="0.3">
      <c r="A296" s="2" t="str">
        <f>HYPERLINK("https://www.cadth.ca/ledipasvir-sofosbuvir-0", "Harvoni")</f>
        <v>Harvoni</v>
      </c>
      <c r="B296" t="s">
        <v>1020</v>
      </c>
      <c r="C296" t="s">
        <v>825</v>
      </c>
      <c r="D296" t="s">
        <v>55</v>
      </c>
      <c r="E296" t="s">
        <v>40</v>
      </c>
      <c r="F296" s="3">
        <v>42375</v>
      </c>
      <c r="G296" s="3">
        <v>42508</v>
      </c>
      <c r="H296" t="s">
        <v>1021</v>
      </c>
      <c r="I296" t="s">
        <v>33</v>
      </c>
      <c r="N296" s="3"/>
      <c r="O296" t="s">
        <v>539</v>
      </c>
      <c r="Q296" s="3"/>
      <c r="R296" s="3"/>
      <c r="S296" s="3"/>
      <c r="T296" t="s">
        <v>49</v>
      </c>
      <c r="V296" s="3"/>
      <c r="W296" s="3"/>
      <c r="X296" s="3"/>
      <c r="Y296" s="3"/>
      <c r="Z296" s="3"/>
      <c r="AA296" s="3"/>
      <c r="AB296" s="3"/>
    </row>
    <row r="297" spans="1:29" x14ac:dyDescent="0.3">
      <c r="A297" s="2" t="str">
        <f>HYPERLINK("https://www.cadth.ca/ledipasvir-sofosbuvir", "Harvoni")</f>
        <v>Harvoni</v>
      </c>
      <c r="B297" t="s">
        <v>1022</v>
      </c>
      <c r="C297" t="s">
        <v>825</v>
      </c>
      <c r="D297" t="s">
        <v>50</v>
      </c>
      <c r="E297" t="s">
        <v>40</v>
      </c>
      <c r="F297" s="3">
        <v>41897</v>
      </c>
      <c r="G297" s="3">
        <v>42081</v>
      </c>
      <c r="H297" t="s">
        <v>1023</v>
      </c>
      <c r="I297" t="s">
        <v>33</v>
      </c>
      <c r="N297" s="3"/>
      <c r="O297" t="s">
        <v>539</v>
      </c>
      <c r="Q297" s="3"/>
      <c r="R297" s="3"/>
      <c r="S297" s="3"/>
      <c r="T297" t="s">
        <v>36</v>
      </c>
      <c r="V297" s="3"/>
      <c r="W297" s="3"/>
      <c r="X297" s="3"/>
      <c r="Y297" s="3"/>
      <c r="Z297" s="3"/>
      <c r="AA297" s="3"/>
      <c r="AB297" s="3"/>
    </row>
    <row r="298" spans="1:29" x14ac:dyDescent="0.3">
      <c r="A298" s="2" t="str">
        <f>HYPERLINK("https://www.cadth.ca/propranolol", "Hemangiol")</f>
        <v>Hemangiol</v>
      </c>
      <c r="B298" t="s">
        <v>1024</v>
      </c>
      <c r="C298" t="s">
        <v>1025</v>
      </c>
      <c r="E298" t="s">
        <v>113</v>
      </c>
      <c r="F298" s="3">
        <v>41996</v>
      </c>
      <c r="G298" s="3"/>
      <c r="H298" t="s">
        <v>1026</v>
      </c>
      <c r="I298" t="s">
        <v>33</v>
      </c>
      <c r="N298" s="3"/>
      <c r="O298" t="s">
        <v>1027</v>
      </c>
      <c r="Q298" s="3"/>
      <c r="R298" s="3"/>
      <c r="S298" s="3"/>
      <c r="T298" t="s">
        <v>36</v>
      </c>
      <c r="V298" s="3"/>
      <c r="W298" s="3"/>
      <c r="X298" s="3"/>
      <c r="Y298" s="3"/>
      <c r="Z298" s="3"/>
      <c r="AA298" s="3"/>
      <c r="AB298" s="3"/>
    </row>
    <row r="299" spans="1:29" x14ac:dyDescent="0.3">
      <c r="A299" s="2" t="str">
        <f>HYPERLINK("https://www.cadth.ca/propranolol-oral-solution", "Hemangiol")</f>
        <v>Hemangiol</v>
      </c>
      <c r="B299" t="s">
        <v>1028</v>
      </c>
      <c r="C299" t="s">
        <v>1025</v>
      </c>
      <c r="D299" t="s">
        <v>55</v>
      </c>
      <c r="E299" t="s">
        <v>40</v>
      </c>
      <c r="F299" s="3">
        <v>42607</v>
      </c>
      <c r="G299" s="3">
        <v>42787</v>
      </c>
      <c r="H299" t="s">
        <v>1029</v>
      </c>
      <c r="I299" t="s">
        <v>33</v>
      </c>
      <c r="N299" s="3"/>
      <c r="O299" t="s">
        <v>1030</v>
      </c>
      <c r="Q299" s="3"/>
      <c r="R299" s="3"/>
      <c r="S299" s="3"/>
      <c r="T299" t="s">
        <v>36</v>
      </c>
      <c r="V299" s="3"/>
      <c r="W299" s="3"/>
      <c r="X299" s="3"/>
      <c r="Y299" s="3"/>
      <c r="Z299" s="3"/>
      <c r="AA299" s="3"/>
      <c r="AB299" s="3"/>
    </row>
    <row r="300" spans="1:29" x14ac:dyDescent="0.3">
      <c r="A300" s="2" t="str">
        <f>HYPERLINK("https://www.cadth.ca/emicizumab", "Hemlibra")</f>
        <v>Hemlibra</v>
      </c>
      <c r="B300" t="s">
        <v>1031</v>
      </c>
      <c r="C300" t="s">
        <v>1032</v>
      </c>
      <c r="D300" t="s">
        <v>55</v>
      </c>
      <c r="E300" t="s">
        <v>40</v>
      </c>
      <c r="F300" s="3">
        <v>44012</v>
      </c>
      <c r="G300" s="3">
        <v>44186</v>
      </c>
      <c r="H300" t="s">
        <v>1033</v>
      </c>
      <c r="I300" t="s">
        <v>33</v>
      </c>
      <c r="N300" s="3"/>
      <c r="O300" t="s">
        <v>852</v>
      </c>
      <c r="Q300" s="3"/>
      <c r="R300" s="3"/>
      <c r="S300" s="3"/>
      <c r="T300" t="s">
        <v>36</v>
      </c>
      <c r="V300" s="3"/>
      <c r="W300" s="3"/>
      <c r="X300" s="3"/>
      <c r="Y300" s="3"/>
      <c r="Z300" s="3"/>
      <c r="AA300" s="3"/>
      <c r="AB300" s="3"/>
    </row>
    <row r="301" spans="1:29" x14ac:dyDescent="0.3">
      <c r="A301" s="2" t="str">
        <f>HYPERLINK("https://www.cadth.ca/adefovir-dipivoxil", "Hepsera")</f>
        <v>Hepsera</v>
      </c>
      <c r="B301" t="s">
        <v>1034</v>
      </c>
      <c r="C301" t="s">
        <v>1035</v>
      </c>
      <c r="D301" t="s">
        <v>39</v>
      </c>
      <c r="E301" t="s">
        <v>40</v>
      </c>
      <c r="F301" s="3">
        <v>38831</v>
      </c>
      <c r="G301" s="3">
        <v>39050</v>
      </c>
      <c r="H301" t="s">
        <v>1036</v>
      </c>
      <c r="I301" t="s">
        <v>33</v>
      </c>
      <c r="N301" s="3"/>
      <c r="O301" t="s">
        <v>539</v>
      </c>
      <c r="Q301" s="3"/>
      <c r="R301" s="3"/>
      <c r="S301" s="3"/>
      <c r="T301" t="s">
        <v>36</v>
      </c>
      <c r="V301" s="3"/>
      <c r="W301" s="3"/>
      <c r="X301" s="3"/>
      <c r="Y301" s="3"/>
      <c r="Z301" s="3"/>
      <c r="AA301" s="3"/>
      <c r="AB301" s="3"/>
    </row>
    <row r="302" spans="1:29" x14ac:dyDescent="0.3">
      <c r="A302" s="2" t="str">
        <f>HYPERLINK("https://www.cadth.ca/adefovir-dipivoxil-0", "Hepsera")</f>
        <v>Hepsera</v>
      </c>
      <c r="B302" t="s">
        <v>1034</v>
      </c>
      <c r="C302" t="s">
        <v>1035</v>
      </c>
      <c r="D302" t="s">
        <v>46</v>
      </c>
      <c r="E302" t="s">
        <v>40</v>
      </c>
      <c r="F302" s="3">
        <v>39262</v>
      </c>
      <c r="G302" s="3">
        <v>39373</v>
      </c>
      <c r="H302" t="s">
        <v>1037</v>
      </c>
      <c r="I302" t="s">
        <v>33</v>
      </c>
      <c r="N302" s="3"/>
      <c r="O302" t="s">
        <v>1038</v>
      </c>
      <c r="Q302" s="3"/>
      <c r="R302" s="3"/>
      <c r="S302" s="3"/>
      <c r="T302" t="s">
        <v>49</v>
      </c>
      <c r="V302" s="3"/>
      <c r="W302" s="3"/>
      <c r="X302" s="3"/>
      <c r="Y302" s="3"/>
      <c r="Z302" s="3"/>
      <c r="AA302" s="3"/>
      <c r="AB302" s="3"/>
    </row>
    <row r="303" spans="1:29" x14ac:dyDescent="0.3">
      <c r="A303" s="2" t="str">
        <f>HYPERLINK("https://www.cadth.ca/ombitasvirparitaprevirritonavir-and-dasabuvir", "Holkira Pak")</f>
        <v>Holkira Pak</v>
      </c>
      <c r="B303" t="s">
        <v>1039</v>
      </c>
      <c r="C303" t="s">
        <v>825</v>
      </c>
      <c r="D303" t="s">
        <v>46</v>
      </c>
      <c r="E303" t="s">
        <v>40</v>
      </c>
      <c r="F303" s="3">
        <v>41976</v>
      </c>
      <c r="G303" s="3">
        <v>42173</v>
      </c>
      <c r="H303" t="s">
        <v>1040</v>
      </c>
      <c r="I303" t="s">
        <v>33</v>
      </c>
      <c r="N303" s="3"/>
      <c r="O303" t="s">
        <v>725</v>
      </c>
      <c r="Q303" s="3"/>
      <c r="R303" s="3"/>
      <c r="S303" s="3"/>
      <c r="T303" t="s">
        <v>36</v>
      </c>
      <c r="V303" s="3"/>
      <c r="W303" s="3"/>
      <c r="X303" s="3"/>
      <c r="Y303" s="3"/>
      <c r="Z303" s="3"/>
      <c r="AA303" s="3"/>
      <c r="AB303" s="3"/>
    </row>
    <row r="304" spans="1:29" x14ac:dyDescent="0.3">
      <c r="A304" s="2" t="str">
        <f>HYPERLINK("https://www.cadth.ca/ombitasvirparitaprevirritonavir-and-dasabuvir-0", "Holkira Pak")</f>
        <v>Holkira Pak</v>
      </c>
      <c r="B304" t="s">
        <v>1041</v>
      </c>
      <c r="C304" t="s">
        <v>825</v>
      </c>
      <c r="D304" t="s">
        <v>55</v>
      </c>
      <c r="E304" t="s">
        <v>40</v>
      </c>
      <c r="F304" s="3">
        <v>42375</v>
      </c>
      <c r="G304" s="3">
        <v>42509</v>
      </c>
      <c r="H304" t="s">
        <v>1042</v>
      </c>
      <c r="I304" t="s">
        <v>33</v>
      </c>
      <c r="N304" s="3"/>
      <c r="O304" t="s">
        <v>725</v>
      </c>
      <c r="Q304" s="3"/>
      <c r="R304" s="3"/>
      <c r="S304" s="3"/>
      <c r="T304" t="s">
        <v>49</v>
      </c>
      <c r="V304" s="3"/>
      <c r="W304" s="3"/>
      <c r="X304" s="3"/>
      <c r="Y304" s="3"/>
      <c r="Z304" s="3"/>
      <c r="AA304" s="3"/>
      <c r="AB304" s="3"/>
    </row>
    <row r="305" spans="1:29" x14ac:dyDescent="0.3">
      <c r="A305" s="2" t="str">
        <f>HYPERLINK("https://www.cadth.ca/adalimumab-1", "Humira")</f>
        <v>Humira</v>
      </c>
      <c r="B305" t="s">
        <v>1043</v>
      </c>
      <c r="C305" t="s">
        <v>1044</v>
      </c>
      <c r="D305" t="s">
        <v>46</v>
      </c>
      <c r="E305" t="s">
        <v>40</v>
      </c>
      <c r="F305" s="3">
        <v>39038</v>
      </c>
      <c r="G305" s="3">
        <v>39260</v>
      </c>
      <c r="H305" t="s">
        <v>1045</v>
      </c>
      <c r="I305" t="s">
        <v>33</v>
      </c>
      <c r="N305" s="3"/>
      <c r="O305" t="s">
        <v>1046</v>
      </c>
      <c r="Q305" s="3"/>
      <c r="R305" s="3"/>
      <c r="S305" s="3"/>
      <c r="T305" t="s">
        <v>142</v>
      </c>
      <c r="V305" s="3"/>
      <c r="W305" s="3"/>
      <c r="X305" s="3"/>
      <c r="Y305" s="3"/>
      <c r="Z305" s="3"/>
      <c r="AA305" s="3"/>
      <c r="AB305" s="3"/>
    </row>
    <row r="306" spans="1:29" x14ac:dyDescent="0.3">
      <c r="A306" s="2" t="str">
        <f>HYPERLINK("https://www.cadth.ca/adalimumab", "Humira")</f>
        <v>Humira</v>
      </c>
      <c r="B306" t="s">
        <v>1043</v>
      </c>
      <c r="C306" t="s">
        <v>84</v>
      </c>
      <c r="D306" t="s">
        <v>46</v>
      </c>
      <c r="E306" t="s">
        <v>40</v>
      </c>
      <c r="F306" s="3">
        <v>38254</v>
      </c>
      <c r="G306" s="3">
        <v>38394</v>
      </c>
      <c r="H306" t="s">
        <v>1047</v>
      </c>
      <c r="I306" t="s">
        <v>33</v>
      </c>
      <c r="N306" s="3"/>
      <c r="O306" t="s">
        <v>1048</v>
      </c>
      <c r="Q306" s="3"/>
      <c r="R306" s="3"/>
      <c r="S306" s="3"/>
      <c r="T306" t="s">
        <v>36</v>
      </c>
      <c r="V306" s="3"/>
      <c r="W306" s="3"/>
      <c r="X306" s="3"/>
      <c r="Y306" s="3"/>
      <c r="Z306" s="3"/>
      <c r="AA306" s="3"/>
      <c r="AB306" s="3"/>
    </row>
    <row r="307" spans="1:29" x14ac:dyDescent="0.3">
      <c r="A307" s="2" t="str">
        <f>HYPERLINK("https://www.cadth.ca/adalimumab-0", "Humira")</f>
        <v>Humira</v>
      </c>
      <c r="B307" t="s">
        <v>1043</v>
      </c>
      <c r="C307" t="s">
        <v>1049</v>
      </c>
      <c r="D307" t="s">
        <v>46</v>
      </c>
      <c r="E307" t="s">
        <v>40</v>
      </c>
      <c r="F307" s="3">
        <v>38889</v>
      </c>
      <c r="G307" s="3">
        <v>39050</v>
      </c>
      <c r="H307" t="s">
        <v>1050</v>
      </c>
      <c r="I307" t="s">
        <v>33</v>
      </c>
      <c r="N307" s="3"/>
      <c r="O307" t="s">
        <v>1048</v>
      </c>
      <c r="Q307" s="3"/>
      <c r="R307" s="3"/>
      <c r="S307" s="3"/>
      <c r="T307" t="s">
        <v>142</v>
      </c>
      <c r="V307" s="3"/>
      <c r="W307" s="3"/>
      <c r="X307" s="3"/>
      <c r="Y307" s="3"/>
      <c r="Z307" s="3"/>
      <c r="AA307" s="3"/>
      <c r="AB307" s="3"/>
    </row>
    <row r="308" spans="1:29" x14ac:dyDescent="0.3">
      <c r="A308" s="2" t="str">
        <f>HYPERLINK("https://www.cadth.ca/adalimumab-4", "Humira")</f>
        <v>Humira</v>
      </c>
      <c r="B308" t="s">
        <v>1043</v>
      </c>
      <c r="C308" t="s">
        <v>75</v>
      </c>
      <c r="D308" t="s">
        <v>46</v>
      </c>
      <c r="E308" t="s">
        <v>40</v>
      </c>
      <c r="F308" s="3">
        <v>41309</v>
      </c>
      <c r="G308" s="3">
        <v>41473</v>
      </c>
      <c r="H308" t="s">
        <v>1051</v>
      </c>
      <c r="I308" t="s">
        <v>33</v>
      </c>
      <c r="N308" s="3"/>
      <c r="O308" t="s">
        <v>725</v>
      </c>
      <c r="Q308" s="3"/>
      <c r="R308" s="3"/>
      <c r="S308" s="3"/>
      <c r="T308" t="s">
        <v>36</v>
      </c>
      <c r="V308" s="3"/>
      <c r="W308" s="3"/>
      <c r="X308" s="3"/>
      <c r="Y308" s="3"/>
      <c r="Z308" s="3"/>
      <c r="AA308" s="3"/>
      <c r="AB308" s="3"/>
    </row>
    <row r="309" spans="1:29" x14ac:dyDescent="0.3">
      <c r="A309" s="2" t="str">
        <f>HYPERLINK("https://www.cadth.ca/adalimumab-2", "Humira")</f>
        <v>Humira</v>
      </c>
      <c r="B309" t="s">
        <v>1043</v>
      </c>
      <c r="C309" t="s">
        <v>816</v>
      </c>
      <c r="D309" t="s">
        <v>46</v>
      </c>
      <c r="E309" t="s">
        <v>40</v>
      </c>
      <c r="F309" s="3">
        <v>39275</v>
      </c>
      <c r="G309" s="3">
        <v>39435</v>
      </c>
      <c r="H309" t="s">
        <v>1052</v>
      </c>
      <c r="I309" t="s">
        <v>33</v>
      </c>
      <c r="N309" s="3"/>
      <c r="O309" t="s">
        <v>1046</v>
      </c>
      <c r="Q309" s="3"/>
      <c r="R309" s="3"/>
      <c r="S309" s="3"/>
      <c r="T309" t="s">
        <v>142</v>
      </c>
      <c r="V309" s="3"/>
      <c r="W309" s="3"/>
      <c r="X309" s="3"/>
      <c r="Y309" s="3"/>
      <c r="Z309" s="3"/>
      <c r="AA309" s="3"/>
      <c r="AB309" s="3"/>
    </row>
    <row r="310" spans="1:29" x14ac:dyDescent="0.3">
      <c r="A310" s="2" t="str">
        <f>HYPERLINK("https://www.cadth.ca/adalimumab-3", "Humira")</f>
        <v>Humira</v>
      </c>
      <c r="B310" t="s">
        <v>1043</v>
      </c>
      <c r="C310" t="s">
        <v>1053</v>
      </c>
      <c r="D310" t="s">
        <v>46</v>
      </c>
      <c r="E310" t="s">
        <v>40</v>
      </c>
      <c r="F310" s="3">
        <v>39553</v>
      </c>
      <c r="G310" s="3">
        <v>39737</v>
      </c>
      <c r="H310" t="s">
        <v>1054</v>
      </c>
      <c r="I310" t="s">
        <v>33</v>
      </c>
      <c r="N310" s="3"/>
      <c r="O310" t="s">
        <v>1046</v>
      </c>
      <c r="Q310" s="3"/>
      <c r="R310" s="3"/>
      <c r="S310" s="3"/>
      <c r="T310" t="s">
        <v>36</v>
      </c>
      <c r="V310" s="3"/>
      <c r="W310" s="3"/>
      <c r="X310" s="3"/>
      <c r="Y310" s="3"/>
      <c r="Z310" s="3"/>
      <c r="AA310" s="3"/>
      <c r="AB310" s="3"/>
    </row>
    <row r="311" spans="1:29" x14ac:dyDescent="0.3">
      <c r="A311" s="2" t="str">
        <f>HYPERLINK("https://www.cadth.ca/adalimumab-5", "Humira")</f>
        <v>Humira</v>
      </c>
      <c r="B311" t="s">
        <v>1043</v>
      </c>
      <c r="C311" t="s">
        <v>1055</v>
      </c>
      <c r="E311" t="s">
        <v>113</v>
      </c>
      <c r="F311" s="3">
        <v>41631</v>
      </c>
      <c r="G311" s="3"/>
      <c r="H311" t="s">
        <v>1056</v>
      </c>
      <c r="I311" t="s">
        <v>33</v>
      </c>
      <c r="N311" s="3"/>
      <c r="O311" t="s">
        <v>1057</v>
      </c>
      <c r="Q311" s="3"/>
      <c r="R311" s="3"/>
      <c r="S311" s="3"/>
      <c r="T311" t="s">
        <v>36</v>
      </c>
      <c r="V311" s="3"/>
      <c r="W311" s="3"/>
      <c r="X311" s="3"/>
      <c r="Y311" s="3"/>
      <c r="Z311" s="3"/>
      <c r="AA311" s="3"/>
      <c r="AB311" s="3"/>
    </row>
    <row r="312" spans="1:29" x14ac:dyDescent="0.3">
      <c r="A312" s="2" t="str">
        <f>HYPERLINK("https://www.cadth.ca/adalimumab-6", "Humira")</f>
        <v>Humira</v>
      </c>
      <c r="B312" t="s">
        <v>1043</v>
      </c>
      <c r="C312" t="s">
        <v>822</v>
      </c>
      <c r="D312" t="s">
        <v>228</v>
      </c>
      <c r="E312" t="s">
        <v>40</v>
      </c>
      <c r="F312" s="3">
        <v>42272</v>
      </c>
      <c r="G312" s="3">
        <v>42475</v>
      </c>
      <c r="H312" t="s">
        <v>1058</v>
      </c>
      <c r="I312" t="s">
        <v>33</v>
      </c>
      <c r="N312" s="3"/>
      <c r="O312" t="s">
        <v>725</v>
      </c>
      <c r="Q312" s="3"/>
      <c r="R312" s="3"/>
      <c r="S312" s="3"/>
      <c r="T312" t="s">
        <v>36</v>
      </c>
      <c r="V312" s="3"/>
      <c r="W312" s="3"/>
      <c r="X312" s="3"/>
      <c r="Y312" s="3"/>
      <c r="Z312" s="3"/>
      <c r="AA312" s="3"/>
      <c r="AB312" s="3"/>
    </row>
    <row r="313" spans="1:29" x14ac:dyDescent="0.3">
      <c r="A313" s="2" t="str">
        <f>HYPERLINK("https://www.cadth.ca/adalimumab-7", "Humira")</f>
        <v>Humira</v>
      </c>
      <c r="B313" t="s">
        <v>1043</v>
      </c>
      <c r="C313" t="s">
        <v>1059</v>
      </c>
      <c r="D313" t="s">
        <v>55</v>
      </c>
      <c r="E313" t="s">
        <v>40</v>
      </c>
      <c r="F313" s="3">
        <v>42311</v>
      </c>
      <c r="G313" s="3">
        <v>42509</v>
      </c>
      <c r="H313" t="s">
        <v>1060</v>
      </c>
      <c r="I313" t="s">
        <v>33</v>
      </c>
      <c r="N313" s="3"/>
      <c r="O313" t="s">
        <v>725</v>
      </c>
      <c r="Q313" s="3"/>
      <c r="R313" s="3"/>
      <c r="S313" s="3"/>
      <c r="T313" t="s">
        <v>36</v>
      </c>
      <c r="V313" s="3"/>
      <c r="W313" s="3"/>
      <c r="X313" s="3"/>
      <c r="Y313" s="3"/>
      <c r="Z313" s="3"/>
      <c r="AA313" s="3"/>
      <c r="AB313" s="3"/>
    </row>
    <row r="314" spans="1:29" x14ac:dyDescent="0.3">
      <c r="A314" s="2" t="str">
        <f>HYPERLINK("https://www.cadth.ca/node/90180", "Ibrance")</f>
        <v>Ibrance</v>
      </c>
      <c r="B314" t="s">
        <v>1061</v>
      </c>
      <c r="E314" t="s">
        <v>113</v>
      </c>
      <c r="F314" s="3">
        <v>42319</v>
      </c>
      <c r="G314" s="3"/>
      <c r="H314" t="s">
        <v>1062</v>
      </c>
      <c r="I314" t="s">
        <v>33</v>
      </c>
      <c r="J314" t="s">
        <v>1063</v>
      </c>
      <c r="K314" t="s">
        <v>177</v>
      </c>
      <c r="L314" t="s">
        <v>1064</v>
      </c>
      <c r="M314" t="s">
        <v>60</v>
      </c>
      <c r="N314" s="3">
        <v>42445</v>
      </c>
      <c r="O314" t="s">
        <v>387</v>
      </c>
      <c r="P314" t="s">
        <v>387</v>
      </c>
      <c r="Q314" s="3"/>
      <c r="R314" s="3"/>
      <c r="S314" s="3">
        <v>42326</v>
      </c>
      <c r="U314" t="s">
        <v>62</v>
      </c>
      <c r="V314" s="3">
        <v>42333</v>
      </c>
      <c r="W314" s="3">
        <v>42381</v>
      </c>
      <c r="X314" s="3">
        <v>42481</v>
      </c>
      <c r="Y314" s="3">
        <v>42495</v>
      </c>
      <c r="Z314" s="3">
        <v>42509</v>
      </c>
      <c r="AA314" s="3"/>
      <c r="AB314" s="3"/>
      <c r="AC314" t="s">
        <v>1065</v>
      </c>
    </row>
    <row r="315" spans="1:29" x14ac:dyDescent="0.3">
      <c r="A315" s="2" t="str">
        <f>HYPERLINK("https://www.cadth.ca/node/95614", "Ibrance Resubmission")</f>
        <v>Ibrance Resubmission</v>
      </c>
      <c r="B315" t="s">
        <v>1061</v>
      </c>
      <c r="C315" t="s">
        <v>1066</v>
      </c>
      <c r="D315" t="s">
        <v>55</v>
      </c>
      <c r="E315" t="s">
        <v>40</v>
      </c>
      <c r="F315" s="3">
        <v>42531</v>
      </c>
      <c r="G315" s="3">
        <v>42695</v>
      </c>
      <c r="H315" t="s">
        <v>1067</v>
      </c>
      <c r="I315" t="s">
        <v>33</v>
      </c>
      <c r="J315" t="s">
        <v>1063</v>
      </c>
      <c r="K315" t="s">
        <v>177</v>
      </c>
      <c r="L315" t="s">
        <v>1064</v>
      </c>
      <c r="N315" s="3">
        <v>42445</v>
      </c>
      <c r="O315" t="s">
        <v>387</v>
      </c>
      <c r="P315" t="s">
        <v>387</v>
      </c>
      <c r="Q315" s="3"/>
      <c r="R315" s="3"/>
      <c r="S315" s="3">
        <v>42545</v>
      </c>
      <c r="U315" t="s">
        <v>62</v>
      </c>
      <c r="V315" s="3">
        <v>42545</v>
      </c>
      <c r="W315" s="3">
        <v>42599</v>
      </c>
      <c r="X315" s="3">
        <v>42663</v>
      </c>
      <c r="Y315" s="3">
        <v>42677</v>
      </c>
      <c r="Z315" s="3">
        <v>42691</v>
      </c>
      <c r="AA315" s="3"/>
      <c r="AB315" s="3">
        <v>42710</v>
      </c>
    </row>
    <row r="316" spans="1:29" x14ac:dyDescent="0.3">
      <c r="A316" s="2" t="str">
        <f>HYPERLINK("https://www.cadth.ca/node/110629", "Ibrance (with Faslodex)")</f>
        <v>Ibrance (with Faslodex)</v>
      </c>
      <c r="B316" t="s">
        <v>1068</v>
      </c>
      <c r="C316" t="s">
        <v>1069</v>
      </c>
      <c r="D316" t="s">
        <v>55</v>
      </c>
      <c r="E316" t="s">
        <v>40</v>
      </c>
      <c r="F316" s="3">
        <v>43371</v>
      </c>
      <c r="G316" s="3">
        <v>43588</v>
      </c>
      <c r="H316" t="s">
        <v>1070</v>
      </c>
      <c r="I316" t="s">
        <v>33</v>
      </c>
      <c r="J316" t="s">
        <v>1071</v>
      </c>
      <c r="K316" t="s">
        <v>177</v>
      </c>
      <c r="L316" t="s">
        <v>1072</v>
      </c>
      <c r="N316" s="3">
        <v>42874</v>
      </c>
      <c r="O316" t="s">
        <v>387</v>
      </c>
      <c r="P316" t="s">
        <v>387</v>
      </c>
      <c r="Q316" s="3"/>
      <c r="R316" s="3"/>
      <c r="S316" s="3">
        <v>43388</v>
      </c>
      <c r="V316" s="3">
        <v>43388</v>
      </c>
      <c r="W316" s="3">
        <v>43425</v>
      </c>
      <c r="X316" s="3">
        <v>43517</v>
      </c>
      <c r="Y316" s="3">
        <v>43531</v>
      </c>
      <c r="Z316" s="3">
        <v>43545</v>
      </c>
      <c r="AA316" s="3"/>
      <c r="AB316" s="3">
        <v>43606</v>
      </c>
    </row>
    <row r="317" spans="1:29" x14ac:dyDescent="0.3">
      <c r="A317" s="2" t="str">
        <f>HYPERLINK("https://www.cadth.ca/node/88558", "Iclusig")</f>
        <v>Iclusig</v>
      </c>
      <c r="B317" t="s">
        <v>1073</v>
      </c>
      <c r="C317" t="s">
        <v>1074</v>
      </c>
      <c r="D317" t="s">
        <v>55</v>
      </c>
      <c r="E317" t="s">
        <v>40</v>
      </c>
      <c r="F317" s="3">
        <v>42076</v>
      </c>
      <c r="G317" s="3">
        <v>42278</v>
      </c>
      <c r="H317" t="s">
        <v>1075</v>
      </c>
      <c r="I317" t="s">
        <v>33</v>
      </c>
      <c r="J317" t="s">
        <v>1076</v>
      </c>
      <c r="K317" t="s">
        <v>284</v>
      </c>
      <c r="L317" t="s">
        <v>1077</v>
      </c>
      <c r="M317" t="s">
        <v>60</v>
      </c>
      <c r="N317" s="3">
        <v>42096</v>
      </c>
      <c r="O317" t="s">
        <v>1078</v>
      </c>
      <c r="P317" t="s">
        <v>1078</v>
      </c>
      <c r="Q317" s="3">
        <v>42076</v>
      </c>
      <c r="R317" s="3"/>
      <c r="S317" s="3">
        <v>42101</v>
      </c>
      <c r="U317" t="s">
        <v>62</v>
      </c>
      <c r="V317" s="3">
        <v>42090</v>
      </c>
      <c r="W317" s="3">
        <v>42136</v>
      </c>
      <c r="X317" s="3">
        <v>42201</v>
      </c>
      <c r="Y317" s="3">
        <v>42215</v>
      </c>
      <c r="Z317" s="3">
        <v>42230</v>
      </c>
      <c r="AA317" s="3"/>
      <c r="AB317" s="3">
        <v>42296</v>
      </c>
      <c r="AC317" t="s">
        <v>1079</v>
      </c>
    </row>
    <row r="318" spans="1:29" x14ac:dyDescent="0.3">
      <c r="A318" s="2" t="str">
        <f>HYPERLINK("https://www.cadth.ca/node/113844", "Idhifa")</f>
        <v>Idhifa</v>
      </c>
      <c r="B318" t="s">
        <v>1080</v>
      </c>
      <c r="C318" t="s">
        <v>1081</v>
      </c>
      <c r="D318" t="s">
        <v>127</v>
      </c>
      <c r="E318" t="s">
        <v>40</v>
      </c>
      <c r="F318" s="3">
        <v>43560</v>
      </c>
      <c r="G318" s="3">
        <v>43769</v>
      </c>
      <c r="H318" t="s">
        <v>1082</v>
      </c>
      <c r="I318" t="s">
        <v>33</v>
      </c>
      <c r="J318" t="s">
        <v>1083</v>
      </c>
      <c r="K318" t="s">
        <v>284</v>
      </c>
      <c r="L318" t="s">
        <v>1084</v>
      </c>
      <c r="N318" s="3">
        <v>43502</v>
      </c>
      <c r="O318" t="s">
        <v>61</v>
      </c>
      <c r="P318" t="s">
        <v>61</v>
      </c>
      <c r="Q318" s="3"/>
      <c r="R318" s="3"/>
      <c r="S318" s="3">
        <v>43577</v>
      </c>
      <c r="V318" s="3">
        <v>43577</v>
      </c>
      <c r="W318" s="3">
        <v>43628</v>
      </c>
      <c r="X318" s="3">
        <v>43692</v>
      </c>
      <c r="Y318" s="3">
        <v>43706</v>
      </c>
      <c r="Z318" s="3">
        <v>43721</v>
      </c>
      <c r="AA318" s="3"/>
      <c r="AB318" s="3">
        <v>43784</v>
      </c>
    </row>
    <row r="319" spans="1:29" x14ac:dyDescent="0.3">
      <c r="A319" s="2" t="str">
        <f>HYPERLINK("https://www.cadth.ca/cyclosporine-0", "Ikervis")</f>
        <v>Ikervis</v>
      </c>
      <c r="B319" t="s">
        <v>1085</v>
      </c>
      <c r="C319" t="s">
        <v>1086</v>
      </c>
      <c r="E319" t="s">
        <v>113</v>
      </c>
      <c r="F319" s="3">
        <v>42870</v>
      </c>
      <c r="G319" s="3"/>
      <c r="H319" t="s">
        <v>1087</v>
      </c>
      <c r="I319" t="s">
        <v>33</v>
      </c>
      <c r="N319" s="3"/>
      <c r="O319" t="s">
        <v>1088</v>
      </c>
      <c r="Q319" s="3"/>
      <c r="R319" s="3"/>
      <c r="S319" s="3"/>
      <c r="T319" t="s">
        <v>36</v>
      </c>
      <c r="V319" s="3"/>
      <c r="W319" s="3"/>
      <c r="X319" s="3"/>
      <c r="Y319" s="3"/>
      <c r="Z319" s="3"/>
      <c r="AA319" s="3"/>
      <c r="AB319" s="3"/>
    </row>
    <row r="320" spans="1:29" x14ac:dyDescent="0.3">
      <c r="A320" s="2" t="str">
        <f>HYPERLINK("https://www.cadth.ca/canakinumab-0", "Ilaris")</f>
        <v>Ilaris</v>
      </c>
      <c r="B320" t="s">
        <v>1089</v>
      </c>
      <c r="C320" t="s">
        <v>1090</v>
      </c>
      <c r="D320" t="s">
        <v>55</v>
      </c>
      <c r="E320" t="s">
        <v>40</v>
      </c>
      <c r="F320" s="3">
        <v>42361</v>
      </c>
      <c r="G320" s="3">
        <v>42538</v>
      </c>
      <c r="H320" t="s">
        <v>1091</v>
      </c>
      <c r="I320" t="s">
        <v>33</v>
      </c>
      <c r="N320" s="3"/>
      <c r="O320" t="s">
        <v>1092</v>
      </c>
      <c r="Q320" s="3"/>
      <c r="R320" s="3"/>
      <c r="S320" s="3"/>
      <c r="T320" t="s">
        <v>36</v>
      </c>
      <c r="V320" s="3"/>
      <c r="W320" s="3"/>
      <c r="X320" s="3"/>
      <c r="Y320" s="3"/>
      <c r="Z320" s="3"/>
      <c r="AA320" s="3"/>
      <c r="AB320" s="3"/>
    </row>
    <row r="321" spans="1:29" x14ac:dyDescent="0.3">
      <c r="A321" s="2" t="str">
        <f>HYPERLINK("https://www.cadth.ca/canakinumab", "Ilaris")</f>
        <v>Ilaris</v>
      </c>
      <c r="B321" t="s">
        <v>1089</v>
      </c>
      <c r="C321" t="s">
        <v>1093</v>
      </c>
      <c r="D321" t="s">
        <v>39</v>
      </c>
      <c r="E321" t="s">
        <v>40</v>
      </c>
      <c r="F321" s="3">
        <v>40366</v>
      </c>
      <c r="G321" s="3">
        <v>40569</v>
      </c>
      <c r="H321" t="s">
        <v>1094</v>
      </c>
      <c r="I321" t="s">
        <v>33</v>
      </c>
      <c r="N321" s="3"/>
      <c r="O321" t="s">
        <v>71</v>
      </c>
      <c r="Q321" s="3"/>
      <c r="R321" s="3"/>
      <c r="S321" s="3"/>
      <c r="T321" t="s">
        <v>36</v>
      </c>
      <c r="V321" s="3"/>
      <c r="W321" s="3"/>
      <c r="X321" s="3"/>
      <c r="Y321" s="3"/>
      <c r="Z321" s="3"/>
      <c r="AA321" s="3"/>
      <c r="AB321" s="3"/>
    </row>
    <row r="322" spans="1:29" x14ac:dyDescent="0.3">
      <c r="A322" s="2" t="str">
        <f>HYPERLINK("https://www.cadth.ca/tildrakizumab", "Ilumya")</f>
        <v>Ilumya</v>
      </c>
      <c r="B322" t="s">
        <v>1095</v>
      </c>
      <c r="C322" t="s">
        <v>558</v>
      </c>
      <c r="D322" t="s">
        <v>55</v>
      </c>
      <c r="E322" t="s">
        <v>40</v>
      </c>
      <c r="F322" s="3">
        <v>43661</v>
      </c>
      <c r="G322" s="3">
        <v>44368</v>
      </c>
      <c r="H322" t="s">
        <v>1096</v>
      </c>
      <c r="I322" t="s">
        <v>33</v>
      </c>
      <c r="N322" s="3"/>
      <c r="O322" t="s">
        <v>1097</v>
      </c>
      <c r="Q322" s="3"/>
      <c r="R322" s="3"/>
      <c r="S322" s="3"/>
      <c r="T322" t="s">
        <v>36</v>
      </c>
      <c r="V322" s="3"/>
      <c r="W322" s="3"/>
      <c r="X322" s="3"/>
      <c r="Y322" s="3"/>
      <c r="Z322" s="3"/>
      <c r="AA322" s="3"/>
      <c r="AB322" s="3"/>
    </row>
    <row r="323" spans="1:29" x14ac:dyDescent="0.3">
      <c r="A323" s="2" t="str">
        <f>HYPERLINK("https://www.cadth.ca/fluocinolone-acetonide-intravitreal-implant", "Iluvien")</f>
        <v>Iluvien</v>
      </c>
      <c r="B323" t="s">
        <v>1098</v>
      </c>
      <c r="C323" t="s">
        <v>1099</v>
      </c>
      <c r="D323" t="s">
        <v>127</v>
      </c>
      <c r="E323" t="s">
        <v>40</v>
      </c>
      <c r="F323" s="3">
        <v>43558</v>
      </c>
      <c r="G323" s="3">
        <v>43734</v>
      </c>
      <c r="H323" t="s">
        <v>1100</v>
      </c>
      <c r="I323" t="s">
        <v>33</v>
      </c>
      <c r="N323" s="3"/>
      <c r="O323" t="s">
        <v>392</v>
      </c>
      <c r="Q323" s="3"/>
      <c r="R323" s="3"/>
      <c r="S323" s="3"/>
      <c r="T323" t="s">
        <v>36</v>
      </c>
      <c r="V323" s="3"/>
      <c r="W323" s="3"/>
      <c r="X323" s="3"/>
      <c r="Y323" s="3"/>
      <c r="Z323" s="3"/>
      <c r="AA323" s="3"/>
      <c r="AB323" s="3"/>
    </row>
    <row r="324" spans="1:29" x14ac:dyDescent="0.3">
      <c r="A324" s="2" t="str">
        <f>HYPERLINK("https://www.cadth.ca/fluocinolone-acetonide", "Iluvien")</f>
        <v>Iluvien</v>
      </c>
      <c r="B324" t="s">
        <v>1101</v>
      </c>
      <c r="C324" t="s">
        <v>1102</v>
      </c>
      <c r="E324" t="s">
        <v>113</v>
      </c>
      <c r="F324" s="3">
        <v>43090</v>
      </c>
      <c r="G324" s="3"/>
      <c r="H324" t="s">
        <v>1103</v>
      </c>
      <c r="I324" t="s">
        <v>33</v>
      </c>
      <c r="N324" s="3"/>
      <c r="O324" t="s">
        <v>392</v>
      </c>
      <c r="Q324" s="3"/>
      <c r="R324" s="3"/>
      <c r="S324" s="3"/>
      <c r="T324" t="s">
        <v>36</v>
      </c>
      <c r="V324" s="3"/>
      <c r="W324" s="3"/>
      <c r="X324" s="3"/>
      <c r="Y324" s="3"/>
      <c r="Z324" s="3"/>
      <c r="AA324" s="3"/>
      <c r="AB324" s="3"/>
    </row>
    <row r="325" spans="1:29" x14ac:dyDescent="0.3">
      <c r="A325" s="2" t="str">
        <f>HYPERLINK("https://www.cadth.ca/ibrutinib", "Imbruvica")</f>
        <v>Imbruvica</v>
      </c>
      <c r="B325" t="s">
        <v>1104</v>
      </c>
      <c r="D325" t="s">
        <v>577</v>
      </c>
      <c r="F325" s="3"/>
      <c r="G325" s="3"/>
      <c r="I325" t="s">
        <v>33</v>
      </c>
      <c r="N325" s="3"/>
      <c r="O325" t="s">
        <v>677</v>
      </c>
      <c r="Q325" s="3"/>
      <c r="R325" s="3"/>
      <c r="S325" s="3"/>
      <c r="T325" t="s">
        <v>579</v>
      </c>
      <c r="V325" s="3"/>
      <c r="W325" s="3"/>
      <c r="X325" s="3"/>
      <c r="Y325" s="3"/>
      <c r="Z325" s="3"/>
      <c r="AA325" s="3"/>
      <c r="AB325" s="3"/>
    </row>
    <row r="326" spans="1:29" x14ac:dyDescent="0.3">
      <c r="A326" s="2" t="str">
        <f>HYPERLINK("https://www.cadth.ca/node/94477", "Imbruvica")</f>
        <v>Imbruvica</v>
      </c>
      <c r="B326" t="s">
        <v>1105</v>
      </c>
      <c r="C326" t="s">
        <v>1106</v>
      </c>
      <c r="D326" t="s">
        <v>127</v>
      </c>
      <c r="E326" t="s">
        <v>40</v>
      </c>
      <c r="F326" s="3">
        <v>42481</v>
      </c>
      <c r="G326" s="3">
        <v>42677</v>
      </c>
      <c r="H326" t="s">
        <v>1107</v>
      </c>
      <c r="I326" t="s">
        <v>33</v>
      </c>
      <c r="J326" t="s">
        <v>1108</v>
      </c>
      <c r="K326" t="s">
        <v>96</v>
      </c>
      <c r="L326" t="s">
        <v>1109</v>
      </c>
      <c r="N326" s="3">
        <v>42460</v>
      </c>
      <c r="O326" t="s">
        <v>677</v>
      </c>
      <c r="P326" t="s">
        <v>677</v>
      </c>
      <c r="Q326" s="3"/>
      <c r="R326" s="3"/>
      <c r="S326" s="3">
        <v>42488</v>
      </c>
      <c r="U326" t="s">
        <v>62</v>
      </c>
      <c r="V326" s="3">
        <v>42495</v>
      </c>
      <c r="W326" s="3">
        <v>42544</v>
      </c>
      <c r="X326" s="3">
        <v>42601</v>
      </c>
      <c r="Y326" s="3">
        <v>42614</v>
      </c>
      <c r="Z326" s="3">
        <v>42629</v>
      </c>
      <c r="AA326" s="3"/>
      <c r="AB326" s="3">
        <v>42692</v>
      </c>
      <c r="AC326" t="s">
        <v>1110</v>
      </c>
    </row>
    <row r="327" spans="1:29" x14ac:dyDescent="0.3">
      <c r="A327" s="2" t="str">
        <f>HYPERLINK("https://www.cadth.ca/node/94446", "Imbruvica")</f>
        <v>Imbruvica</v>
      </c>
      <c r="B327" t="s">
        <v>1105</v>
      </c>
      <c r="C327" t="s">
        <v>1111</v>
      </c>
      <c r="D327" t="s">
        <v>55</v>
      </c>
      <c r="E327" t="s">
        <v>40</v>
      </c>
      <c r="F327" s="3">
        <v>42480</v>
      </c>
      <c r="G327" s="3">
        <v>42677</v>
      </c>
      <c r="H327" t="s">
        <v>1112</v>
      </c>
      <c r="I327" t="s">
        <v>33</v>
      </c>
      <c r="J327" t="s">
        <v>1113</v>
      </c>
      <c r="K327" t="s">
        <v>284</v>
      </c>
      <c r="L327" t="s">
        <v>1114</v>
      </c>
      <c r="M327" t="s">
        <v>60</v>
      </c>
      <c r="N327" s="3">
        <v>42570</v>
      </c>
      <c r="O327" t="s">
        <v>677</v>
      </c>
      <c r="P327" t="s">
        <v>677</v>
      </c>
      <c r="Q327" s="3"/>
      <c r="R327" s="3"/>
      <c r="S327" s="3">
        <v>42487</v>
      </c>
      <c r="U327" t="s">
        <v>99</v>
      </c>
      <c r="V327" s="3">
        <v>42494</v>
      </c>
      <c r="W327" s="3">
        <v>42535</v>
      </c>
      <c r="X327" s="3">
        <v>42600</v>
      </c>
      <c r="Y327" s="3">
        <v>42614</v>
      </c>
      <c r="Z327" s="3">
        <v>42629</v>
      </c>
      <c r="AA327" s="3"/>
      <c r="AB327" s="3">
        <v>42692</v>
      </c>
    </row>
    <row r="328" spans="1:29" x14ac:dyDescent="0.3">
      <c r="A328" s="2" t="str">
        <f>HYPERLINK("https://www.cadth.ca/node/116445", "Imbruvica")</f>
        <v>Imbruvica</v>
      </c>
      <c r="B328" t="s">
        <v>1105</v>
      </c>
      <c r="D328" t="s">
        <v>577</v>
      </c>
      <c r="E328" t="s">
        <v>578</v>
      </c>
      <c r="F328" s="3"/>
      <c r="G328" s="3"/>
      <c r="H328" t="s">
        <v>391</v>
      </c>
      <c r="I328" t="s">
        <v>33</v>
      </c>
      <c r="K328" t="s">
        <v>96</v>
      </c>
      <c r="N328" s="3"/>
      <c r="O328" t="s">
        <v>677</v>
      </c>
      <c r="Q328" s="3"/>
      <c r="R328" s="3"/>
      <c r="S328" s="3"/>
      <c r="V328" s="3"/>
      <c r="W328" s="3"/>
      <c r="X328" s="3"/>
      <c r="Y328" s="3"/>
      <c r="Z328" s="3"/>
      <c r="AA328" s="3"/>
      <c r="AB328" s="3"/>
      <c r="AC328" t="s">
        <v>694</v>
      </c>
    </row>
    <row r="329" spans="1:29" x14ac:dyDescent="0.3">
      <c r="A329" s="2" t="str">
        <f>HYPERLINK("https://www.cadth.ca/node/79694", "Imbruvica")</f>
        <v>Imbruvica</v>
      </c>
      <c r="B329" t="s">
        <v>1105</v>
      </c>
      <c r="C329" t="s">
        <v>1115</v>
      </c>
      <c r="D329" t="s">
        <v>55</v>
      </c>
      <c r="E329" t="s">
        <v>40</v>
      </c>
      <c r="F329" s="3">
        <v>41866</v>
      </c>
      <c r="G329" s="3">
        <v>42068</v>
      </c>
      <c r="H329" t="s">
        <v>1116</v>
      </c>
      <c r="I329" t="s">
        <v>33</v>
      </c>
      <c r="J329" t="s">
        <v>1117</v>
      </c>
      <c r="K329" t="s">
        <v>284</v>
      </c>
      <c r="L329" t="s">
        <v>1118</v>
      </c>
      <c r="M329" t="s">
        <v>60</v>
      </c>
      <c r="N329" s="3">
        <v>41960</v>
      </c>
      <c r="O329" t="s">
        <v>665</v>
      </c>
      <c r="P329" t="s">
        <v>665</v>
      </c>
      <c r="Q329" s="3"/>
      <c r="R329" s="3"/>
      <c r="S329" s="3">
        <v>41873</v>
      </c>
      <c r="U329" t="s">
        <v>99</v>
      </c>
      <c r="V329" s="3">
        <v>41880</v>
      </c>
      <c r="W329" s="3">
        <v>41915</v>
      </c>
      <c r="X329" s="3">
        <v>41991</v>
      </c>
      <c r="Y329" s="3">
        <v>42013</v>
      </c>
      <c r="Z329" s="3">
        <v>42027</v>
      </c>
      <c r="AA329" s="3"/>
      <c r="AB329" s="3">
        <v>42083</v>
      </c>
      <c r="AC329" t="s">
        <v>63</v>
      </c>
    </row>
    <row r="330" spans="1:29" x14ac:dyDescent="0.3">
      <c r="A330" s="2" t="str">
        <f>HYPERLINK("https://www.cadth.ca/node/91940", "Imbruvica")</f>
        <v>Imbruvica</v>
      </c>
      <c r="B330" t="s">
        <v>1105</v>
      </c>
      <c r="C330" t="s">
        <v>1119</v>
      </c>
      <c r="D330" t="s">
        <v>55</v>
      </c>
      <c r="E330" t="s">
        <v>40</v>
      </c>
      <c r="F330" s="3">
        <v>42398</v>
      </c>
      <c r="G330" s="3">
        <v>42570</v>
      </c>
      <c r="H330" t="s">
        <v>1120</v>
      </c>
      <c r="I330" t="s">
        <v>33</v>
      </c>
      <c r="J330" t="s">
        <v>1117</v>
      </c>
      <c r="K330" t="s">
        <v>96</v>
      </c>
      <c r="L330" t="s">
        <v>1121</v>
      </c>
      <c r="N330" s="3">
        <v>42179</v>
      </c>
      <c r="O330" t="s">
        <v>665</v>
      </c>
      <c r="P330" t="s">
        <v>665</v>
      </c>
      <c r="Q330" s="3"/>
      <c r="R330" s="3"/>
      <c r="S330" s="3">
        <v>42405</v>
      </c>
      <c r="U330" t="s">
        <v>62</v>
      </c>
      <c r="V330" s="3">
        <v>42412</v>
      </c>
      <c r="W330" s="3">
        <v>42460</v>
      </c>
      <c r="X330" s="3">
        <v>42537</v>
      </c>
      <c r="Y330" s="3">
        <v>42551</v>
      </c>
      <c r="Z330" s="3">
        <v>42566</v>
      </c>
      <c r="AA330" s="3"/>
      <c r="AB330" s="3">
        <v>42586</v>
      </c>
    </row>
    <row r="331" spans="1:29" x14ac:dyDescent="0.3">
      <c r="A331" s="2" t="str">
        <f>HYPERLINK("https://www.cadth.ca/node/116443", "Imbruvica")</f>
        <v>Imbruvica</v>
      </c>
      <c r="B331" t="s">
        <v>1105</v>
      </c>
      <c r="F331" s="3"/>
      <c r="G331" s="3"/>
      <c r="I331" t="s">
        <v>33</v>
      </c>
      <c r="K331" t="s">
        <v>284</v>
      </c>
      <c r="N331" s="3"/>
      <c r="O331" t="s">
        <v>677</v>
      </c>
      <c r="Q331" s="3"/>
      <c r="R331" s="3"/>
      <c r="S331" s="3"/>
      <c r="V331" s="3"/>
      <c r="W331" s="3"/>
      <c r="X331" s="3"/>
      <c r="Y331" s="3"/>
      <c r="Z331" s="3"/>
      <c r="AA331" s="3"/>
      <c r="AB331" s="3"/>
      <c r="AC331" t="s">
        <v>694</v>
      </c>
    </row>
    <row r="332" spans="1:29" x14ac:dyDescent="0.3">
      <c r="A332" s="2" t="str">
        <f>HYPERLINK("https://www.cadth.ca/durvalumab", "Imfinzi")</f>
        <v>Imfinzi</v>
      </c>
      <c r="B332" t="s">
        <v>1122</v>
      </c>
      <c r="C332" t="s">
        <v>1123</v>
      </c>
      <c r="D332" t="s">
        <v>55</v>
      </c>
      <c r="E332" t="s">
        <v>40</v>
      </c>
      <c r="F332" s="3">
        <v>44166</v>
      </c>
      <c r="G332" s="3">
        <v>44404</v>
      </c>
      <c r="H332" t="s">
        <v>1124</v>
      </c>
      <c r="I332" t="s">
        <v>33</v>
      </c>
      <c r="K332" t="s">
        <v>205</v>
      </c>
      <c r="N332" s="3"/>
      <c r="O332" t="s">
        <v>465</v>
      </c>
      <c r="Q332" s="3"/>
      <c r="R332" s="3"/>
      <c r="S332" s="3"/>
      <c r="T332" t="s">
        <v>36</v>
      </c>
      <c r="V332" s="3"/>
      <c r="W332" s="3"/>
      <c r="X332" s="3"/>
      <c r="Y332" s="3"/>
      <c r="Z332" s="3"/>
      <c r="AA332" s="3"/>
      <c r="AB332" s="3"/>
    </row>
    <row r="333" spans="1:29" x14ac:dyDescent="0.3">
      <c r="A333" s="2" t="str">
        <f>HYPERLINK("https://www.cadth.ca/node/110525", "Imfinzi")</f>
        <v>Imfinzi</v>
      </c>
      <c r="B333" t="s">
        <v>1125</v>
      </c>
      <c r="C333" t="s">
        <v>1126</v>
      </c>
      <c r="D333" t="s">
        <v>55</v>
      </c>
      <c r="E333" t="s">
        <v>40</v>
      </c>
      <c r="F333" s="3">
        <v>43364</v>
      </c>
      <c r="G333" s="3">
        <v>43588</v>
      </c>
      <c r="H333" t="s">
        <v>1127</v>
      </c>
      <c r="I333" t="s">
        <v>33</v>
      </c>
      <c r="J333" t="s">
        <v>95</v>
      </c>
      <c r="K333" t="s">
        <v>205</v>
      </c>
      <c r="L333" t="s">
        <v>1128</v>
      </c>
      <c r="N333" s="3">
        <v>43224</v>
      </c>
      <c r="O333" t="s">
        <v>1129</v>
      </c>
      <c r="P333" t="s">
        <v>1129</v>
      </c>
      <c r="Q333" s="3"/>
      <c r="R333" s="3"/>
      <c r="S333" s="3">
        <v>43378</v>
      </c>
      <c r="V333" s="3">
        <v>43378</v>
      </c>
      <c r="W333" s="3">
        <v>43416</v>
      </c>
      <c r="X333" s="3">
        <v>43517</v>
      </c>
      <c r="Y333" s="3">
        <v>43531</v>
      </c>
      <c r="Z333" s="3">
        <v>43545</v>
      </c>
      <c r="AA333" s="3"/>
      <c r="AB333" s="3">
        <v>43606</v>
      </c>
    </row>
    <row r="334" spans="1:29" x14ac:dyDescent="0.3">
      <c r="A334" s="2" t="str">
        <f>HYPERLINK("https://www.cadth.ca/estradiol", "Imvexxy")</f>
        <v>Imvexxy</v>
      </c>
      <c r="B334" t="s">
        <v>1130</v>
      </c>
      <c r="C334" t="s">
        <v>1131</v>
      </c>
      <c r="E334" t="s">
        <v>31</v>
      </c>
      <c r="F334" s="3">
        <v>44370</v>
      </c>
      <c r="G334" s="3"/>
      <c r="H334" t="s">
        <v>1132</v>
      </c>
      <c r="I334" t="s">
        <v>33</v>
      </c>
      <c r="K334" t="s">
        <v>391</v>
      </c>
      <c r="N334" s="3"/>
      <c r="O334" t="s">
        <v>392</v>
      </c>
      <c r="Q334" s="3"/>
      <c r="R334" s="3"/>
      <c r="S334" s="3"/>
      <c r="T334" t="s">
        <v>36</v>
      </c>
      <c r="V334" s="3"/>
      <c r="W334" s="3"/>
      <c r="X334" s="3"/>
      <c r="Y334" s="3"/>
      <c r="Z334" s="3"/>
      <c r="AA334" s="3"/>
      <c r="AB334" s="3"/>
    </row>
    <row r="335" spans="1:29" x14ac:dyDescent="0.3">
      <c r="A335" s="2" t="str">
        <f>HYPERLINK("https://www.cadth.ca/telaprevir-0", "Incivek")</f>
        <v>Incivek</v>
      </c>
      <c r="B335" t="s">
        <v>1133</v>
      </c>
      <c r="C335" t="s">
        <v>825</v>
      </c>
      <c r="D335" t="s">
        <v>50</v>
      </c>
      <c r="E335" t="s">
        <v>40</v>
      </c>
      <c r="F335" s="3">
        <v>41264</v>
      </c>
      <c r="G335" s="3">
        <v>41438</v>
      </c>
      <c r="H335" t="s">
        <v>1134</v>
      </c>
      <c r="I335" t="s">
        <v>33</v>
      </c>
      <c r="N335" s="3"/>
      <c r="O335" t="s">
        <v>1135</v>
      </c>
      <c r="Q335" s="3"/>
      <c r="R335" s="3"/>
      <c r="S335" s="3"/>
      <c r="T335" t="s">
        <v>49</v>
      </c>
      <c r="V335" s="3"/>
      <c r="W335" s="3"/>
      <c r="X335" s="3"/>
      <c r="Y335" s="3"/>
      <c r="Z335" s="3"/>
      <c r="AA335" s="3"/>
      <c r="AB335" s="3"/>
    </row>
    <row r="336" spans="1:29" x14ac:dyDescent="0.3">
      <c r="A336" s="2" t="str">
        <f>HYPERLINK("https://www.cadth.ca/telaprevir", "Incivek")</f>
        <v>Incivek</v>
      </c>
      <c r="B336" t="s">
        <v>1133</v>
      </c>
      <c r="C336" t="s">
        <v>825</v>
      </c>
      <c r="D336" t="s">
        <v>46</v>
      </c>
      <c r="E336" t="s">
        <v>40</v>
      </c>
      <c r="F336" s="3">
        <v>40778</v>
      </c>
      <c r="G336" s="3">
        <v>40954</v>
      </c>
      <c r="H336" t="s">
        <v>1136</v>
      </c>
      <c r="I336" t="s">
        <v>33</v>
      </c>
      <c r="N336" s="3"/>
      <c r="O336" t="s">
        <v>1137</v>
      </c>
      <c r="Q336" s="3"/>
      <c r="R336" s="3"/>
      <c r="S336" s="3"/>
      <c r="T336" t="s">
        <v>36</v>
      </c>
      <c r="V336" s="3"/>
      <c r="W336" s="3"/>
      <c r="X336" s="3"/>
      <c r="Y336" s="3"/>
      <c r="Z336" s="3"/>
      <c r="AA336" s="3"/>
      <c r="AB336" s="3"/>
    </row>
    <row r="337" spans="1:29" x14ac:dyDescent="0.3">
      <c r="A337" s="2" t="str">
        <f>HYPERLINK("https://www.cadth.ca/telaprevir-1", "Incivek")</f>
        <v>Incivek</v>
      </c>
      <c r="B337" t="s">
        <v>1133</v>
      </c>
      <c r="C337" t="s">
        <v>825</v>
      </c>
      <c r="D337" t="s">
        <v>50</v>
      </c>
      <c r="E337" t="s">
        <v>40</v>
      </c>
      <c r="F337" s="3">
        <v>41324</v>
      </c>
      <c r="G337" s="3">
        <v>41438</v>
      </c>
      <c r="H337" t="s">
        <v>1138</v>
      </c>
      <c r="I337" t="s">
        <v>33</v>
      </c>
      <c r="N337" s="3"/>
      <c r="O337" t="s">
        <v>1135</v>
      </c>
      <c r="Q337" s="3"/>
      <c r="R337" s="3"/>
      <c r="S337" s="3"/>
      <c r="T337" t="s">
        <v>49</v>
      </c>
      <c r="V337" s="3"/>
      <c r="W337" s="3"/>
      <c r="X337" s="3"/>
      <c r="Y337" s="3"/>
      <c r="Z337" s="3"/>
      <c r="AA337" s="3"/>
      <c r="AB337" s="3"/>
    </row>
    <row r="338" spans="1:29" x14ac:dyDescent="0.3">
      <c r="A338" s="2" t="str">
        <f>HYPERLINK("https://www.cadth.ca/mecasermin", "Increlex")</f>
        <v>Increlex</v>
      </c>
      <c r="B338" t="s">
        <v>1139</v>
      </c>
      <c r="C338" t="s">
        <v>1140</v>
      </c>
      <c r="E338" t="s">
        <v>31</v>
      </c>
      <c r="F338" s="3">
        <v>44361</v>
      </c>
      <c r="G338" s="3"/>
      <c r="H338" t="s">
        <v>1141</v>
      </c>
      <c r="I338" t="s">
        <v>33</v>
      </c>
      <c r="N338" s="3"/>
      <c r="O338" t="s">
        <v>1142</v>
      </c>
      <c r="Q338" s="3"/>
      <c r="R338" s="3"/>
      <c r="S338" s="3"/>
      <c r="T338" t="s">
        <v>36</v>
      </c>
      <c r="V338" s="3"/>
      <c r="W338" s="3"/>
      <c r="X338" s="3"/>
      <c r="Y338" s="3"/>
      <c r="Z338" s="3"/>
      <c r="AA338" s="3"/>
      <c r="AB338" s="3"/>
    </row>
    <row r="339" spans="1:29" x14ac:dyDescent="0.3">
      <c r="A339" s="2" t="str">
        <f>HYPERLINK("https://www.cadth.ca/umeclidinium", "Incruse Ellipta")</f>
        <v>Incruse Ellipta</v>
      </c>
      <c r="B339" t="s">
        <v>1143</v>
      </c>
      <c r="C339" t="s">
        <v>257</v>
      </c>
      <c r="D339" t="s">
        <v>50</v>
      </c>
      <c r="E339" t="s">
        <v>40</v>
      </c>
      <c r="F339" s="3">
        <v>42067</v>
      </c>
      <c r="G339" s="3">
        <v>42265</v>
      </c>
      <c r="H339" t="s">
        <v>1144</v>
      </c>
      <c r="I339" t="s">
        <v>33</v>
      </c>
      <c r="N339" s="3"/>
      <c r="O339" t="s">
        <v>259</v>
      </c>
      <c r="Q339" s="3"/>
      <c r="R339" s="3"/>
      <c r="S339" s="3"/>
      <c r="T339" t="s">
        <v>36</v>
      </c>
      <c r="V339" s="3"/>
      <c r="W339" s="3"/>
      <c r="X339" s="3"/>
      <c r="Y339" s="3"/>
      <c r="Z339" s="3"/>
      <c r="AA339" s="3"/>
      <c r="AB339" s="3"/>
    </row>
    <row r="340" spans="1:29" x14ac:dyDescent="0.3">
      <c r="A340" s="2" t="str">
        <f>HYPERLINK("https://www.cadth.ca/infliximab-1", "Inflectra")</f>
        <v>Inflectra</v>
      </c>
      <c r="B340" t="s">
        <v>1145</v>
      </c>
      <c r="C340" t="s">
        <v>1146</v>
      </c>
      <c r="D340" t="s">
        <v>50</v>
      </c>
      <c r="E340" t="s">
        <v>40</v>
      </c>
      <c r="F340" s="3">
        <v>41807</v>
      </c>
      <c r="G340" s="3">
        <v>41992</v>
      </c>
      <c r="H340" t="s">
        <v>1147</v>
      </c>
      <c r="I340" t="s">
        <v>33</v>
      </c>
      <c r="N340" s="3"/>
      <c r="O340" t="s">
        <v>1148</v>
      </c>
      <c r="Q340" s="3"/>
      <c r="R340" s="3"/>
      <c r="S340" s="3"/>
      <c r="T340" t="s">
        <v>36</v>
      </c>
      <c r="V340" s="3"/>
      <c r="W340" s="3"/>
      <c r="X340" s="3"/>
      <c r="Y340" s="3"/>
      <c r="Z340" s="3"/>
      <c r="AA340" s="3"/>
      <c r="AB340" s="3"/>
    </row>
    <row r="341" spans="1:29" x14ac:dyDescent="0.3">
      <c r="A341" s="2" t="str">
        <f>HYPERLINK("https://www.cadth.ca/infliximab-2", "Inflectra (Subsequent Entry Biologic)")</f>
        <v>Inflectra (Subsequent Entry Biologic)</v>
      </c>
      <c r="B341" t="s">
        <v>1145</v>
      </c>
      <c r="C341" t="s">
        <v>1149</v>
      </c>
      <c r="D341" t="s">
        <v>55</v>
      </c>
      <c r="E341" t="s">
        <v>40</v>
      </c>
      <c r="F341" s="3">
        <v>42472</v>
      </c>
      <c r="G341" s="3">
        <v>42668</v>
      </c>
      <c r="H341" t="s">
        <v>1150</v>
      </c>
      <c r="I341" t="s">
        <v>33</v>
      </c>
      <c r="N341" s="3"/>
      <c r="O341" t="s">
        <v>1151</v>
      </c>
      <c r="Q341" s="3"/>
      <c r="R341" s="3"/>
      <c r="S341" s="3"/>
      <c r="T341" t="s">
        <v>36</v>
      </c>
      <c r="V341" s="3"/>
      <c r="W341" s="3"/>
      <c r="X341" s="3"/>
      <c r="Y341" s="3"/>
      <c r="Z341" s="3"/>
      <c r="AA341" s="3"/>
      <c r="AB341" s="3"/>
    </row>
    <row r="342" spans="1:29" x14ac:dyDescent="0.3">
      <c r="A342" s="2" t="str">
        <f>HYPERLINK("https://www.cadth.ca/node/79656", "Inlyta")</f>
        <v>Inlyta</v>
      </c>
      <c r="B342" t="s">
        <v>1152</v>
      </c>
      <c r="C342" t="s">
        <v>1153</v>
      </c>
      <c r="D342" t="s">
        <v>109</v>
      </c>
      <c r="E342" t="s">
        <v>40</v>
      </c>
      <c r="F342" s="3">
        <v>41137</v>
      </c>
      <c r="G342" s="3">
        <v>41340</v>
      </c>
      <c r="H342" t="s">
        <v>1154</v>
      </c>
      <c r="I342" t="s">
        <v>33</v>
      </c>
      <c r="J342" t="s">
        <v>1155</v>
      </c>
      <c r="K342" t="s">
        <v>367</v>
      </c>
      <c r="L342" t="s">
        <v>1156</v>
      </c>
      <c r="N342" s="3">
        <v>41102</v>
      </c>
      <c r="O342" t="s">
        <v>387</v>
      </c>
      <c r="P342" t="s">
        <v>387</v>
      </c>
      <c r="Q342" s="3"/>
      <c r="R342" s="3"/>
      <c r="S342" s="3">
        <v>41144</v>
      </c>
      <c r="U342" t="s">
        <v>62</v>
      </c>
      <c r="V342" s="3">
        <v>41151</v>
      </c>
      <c r="W342" s="3">
        <v>41192</v>
      </c>
      <c r="X342" s="3">
        <v>41263</v>
      </c>
      <c r="Y342" s="3">
        <v>41288</v>
      </c>
      <c r="Z342" s="3">
        <v>41302</v>
      </c>
      <c r="AA342" s="3"/>
      <c r="AB342" s="3">
        <v>41355</v>
      </c>
    </row>
    <row r="343" spans="1:29" x14ac:dyDescent="0.3">
      <c r="A343" s="2" t="str">
        <f>HYPERLINK("https://www.cadth.ca/node/101960", "Inlyta (RFA)")</f>
        <v>Inlyta (RFA)</v>
      </c>
      <c r="B343" t="s">
        <v>1152</v>
      </c>
      <c r="C343" t="s">
        <v>1153</v>
      </c>
      <c r="E343" t="s">
        <v>40</v>
      </c>
      <c r="F343" s="3">
        <v>42843</v>
      </c>
      <c r="G343" s="3"/>
      <c r="H343" t="s">
        <v>1157</v>
      </c>
      <c r="I343" t="s">
        <v>33</v>
      </c>
      <c r="K343" t="s">
        <v>367</v>
      </c>
      <c r="N343" s="3"/>
      <c r="O343" t="s">
        <v>387</v>
      </c>
      <c r="P343" t="s">
        <v>430</v>
      </c>
      <c r="Q343" s="3"/>
      <c r="R343" s="3"/>
      <c r="S343" s="3"/>
      <c r="V343" s="3">
        <v>42857</v>
      </c>
      <c r="W343" s="3"/>
      <c r="X343" s="3">
        <v>42902</v>
      </c>
      <c r="Y343" s="3"/>
      <c r="Z343" s="3"/>
      <c r="AA343" s="3"/>
      <c r="AB343" s="3">
        <v>42916</v>
      </c>
      <c r="AC343" t="s">
        <v>1158</v>
      </c>
    </row>
    <row r="344" spans="1:29" x14ac:dyDescent="0.3">
      <c r="A344" s="2" t="str">
        <f>HYPERLINK("https://www.cadth.ca/node/122367", "Inqovi")</f>
        <v>Inqovi</v>
      </c>
      <c r="B344" t="s">
        <v>1159</v>
      </c>
      <c r="E344" t="s">
        <v>31</v>
      </c>
      <c r="F344" s="3">
        <v>44113</v>
      </c>
      <c r="G344" s="3">
        <v>44461</v>
      </c>
      <c r="H344" t="s">
        <v>1160</v>
      </c>
      <c r="I344" t="s">
        <v>33</v>
      </c>
      <c r="K344" t="s">
        <v>284</v>
      </c>
      <c r="L344" t="s">
        <v>1161</v>
      </c>
      <c r="N344" s="3">
        <v>44019</v>
      </c>
      <c r="O344" t="s">
        <v>1162</v>
      </c>
      <c r="P344" t="s">
        <v>1162</v>
      </c>
      <c r="Q344" s="3"/>
      <c r="R344" s="3"/>
      <c r="S344" s="3">
        <v>44130</v>
      </c>
      <c r="V344" s="3">
        <v>44130</v>
      </c>
      <c r="W344" s="3">
        <v>44210</v>
      </c>
      <c r="X344" s="3">
        <v>44419</v>
      </c>
      <c r="Y344" s="3">
        <v>44441</v>
      </c>
      <c r="Z344" s="3">
        <v>44456</v>
      </c>
      <c r="AA344" s="3"/>
      <c r="AB344" s="3"/>
    </row>
    <row r="345" spans="1:29" x14ac:dyDescent="0.3">
      <c r="A345" s="2" t="str">
        <f>HYPERLINK("https://www.cadth.ca/fedratinib", "Inrebic")</f>
        <v>Inrebic</v>
      </c>
      <c r="B345" t="s">
        <v>1163</v>
      </c>
      <c r="C345" t="s">
        <v>1164</v>
      </c>
      <c r="D345" t="s">
        <v>55</v>
      </c>
      <c r="E345" t="s">
        <v>40</v>
      </c>
      <c r="F345" s="3">
        <v>44140</v>
      </c>
      <c r="G345" s="3">
        <v>44368</v>
      </c>
      <c r="H345" t="s">
        <v>1165</v>
      </c>
      <c r="I345" t="s">
        <v>33</v>
      </c>
      <c r="N345" s="3"/>
      <c r="O345" t="s">
        <v>1166</v>
      </c>
      <c r="Q345" s="3"/>
      <c r="R345" s="3"/>
      <c r="S345" s="3"/>
      <c r="T345" t="s">
        <v>36</v>
      </c>
      <c r="V345" s="3"/>
      <c r="W345" s="3"/>
      <c r="X345" s="3"/>
      <c r="Y345" s="3"/>
      <c r="Z345" s="3"/>
      <c r="AA345" s="3"/>
      <c r="AB345" s="3"/>
    </row>
    <row r="346" spans="1:29" x14ac:dyDescent="0.3">
      <c r="A346" s="2" t="str">
        <f>HYPERLINK("https://www.cadth.ca/tiotropium-olodaterol", "Inspiolto Respimat")</f>
        <v>Inspiolto Respimat</v>
      </c>
      <c r="B346" t="s">
        <v>1167</v>
      </c>
      <c r="D346" t="s">
        <v>50</v>
      </c>
      <c r="E346" t="s">
        <v>40</v>
      </c>
      <c r="F346" s="3">
        <v>42159</v>
      </c>
      <c r="G346" s="3">
        <v>42355</v>
      </c>
      <c r="H346" t="s">
        <v>1168</v>
      </c>
      <c r="I346" t="s">
        <v>33</v>
      </c>
      <c r="N346" s="3"/>
      <c r="O346" t="s">
        <v>1169</v>
      </c>
      <c r="Q346" s="3"/>
      <c r="R346" s="3"/>
      <c r="S346" s="3"/>
      <c r="T346" t="s">
        <v>157</v>
      </c>
      <c r="V346" s="3"/>
      <c r="W346" s="3"/>
      <c r="X346" s="3"/>
      <c r="Y346" s="3"/>
      <c r="Z346" s="3"/>
      <c r="AA346" s="3"/>
      <c r="AB346" s="3"/>
    </row>
    <row r="347" spans="1:29" x14ac:dyDescent="0.3">
      <c r="A347" s="2" t="str">
        <f>HYPERLINK("https://www.cadth.ca/eplerenone", "Inspra")</f>
        <v>Inspra</v>
      </c>
      <c r="B347" t="s">
        <v>1170</v>
      </c>
      <c r="C347" t="s">
        <v>1171</v>
      </c>
      <c r="D347" t="s">
        <v>39</v>
      </c>
      <c r="E347" t="s">
        <v>40</v>
      </c>
      <c r="F347" s="3">
        <v>39939</v>
      </c>
      <c r="G347" s="3">
        <v>40142</v>
      </c>
      <c r="H347" t="s">
        <v>1172</v>
      </c>
      <c r="I347" t="s">
        <v>33</v>
      </c>
      <c r="N347" s="3"/>
      <c r="O347" t="s">
        <v>387</v>
      </c>
      <c r="Q347" s="3"/>
      <c r="R347" s="3"/>
      <c r="S347" s="3"/>
      <c r="T347" t="s">
        <v>36</v>
      </c>
      <c r="V347" s="3"/>
      <c r="W347" s="3"/>
      <c r="X347" s="3"/>
      <c r="Y347" s="3"/>
      <c r="Z347" s="3"/>
      <c r="AA347" s="3"/>
      <c r="AB347" s="3"/>
    </row>
    <row r="348" spans="1:29" x14ac:dyDescent="0.3">
      <c r="A348" s="2" t="str">
        <f>HYPERLINK("https://www.cadth.ca/eplerenone-0", "Inspra")</f>
        <v>Inspra</v>
      </c>
      <c r="B348" t="s">
        <v>1170</v>
      </c>
      <c r="C348" t="s">
        <v>1173</v>
      </c>
      <c r="D348" t="s">
        <v>228</v>
      </c>
      <c r="E348" t="s">
        <v>40</v>
      </c>
      <c r="F348" s="3">
        <v>41467</v>
      </c>
      <c r="G348" s="3">
        <v>41753</v>
      </c>
      <c r="H348" t="s">
        <v>1174</v>
      </c>
      <c r="I348" t="s">
        <v>33</v>
      </c>
      <c r="N348" s="3"/>
      <c r="O348" t="s">
        <v>387</v>
      </c>
      <c r="Q348" s="3"/>
      <c r="R348" s="3"/>
      <c r="S348" s="3"/>
      <c r="T348" t="s">
        <v>36</v>
      </c>
      <c r="V348" s="3"/>
      <c r="W348" s="3"/>
      <c r="X348" s="3"/>
      <c r="Y348" s="3"/>
      <c r="Z348" s="3"/>
      <c r="AA348" s="3"/>
      <c r="AB348" s="3"/>
    </row>
    <row r="349" spans="1:29" x14ac:dyDescent="0.3">
      <c r="A349" s="2" t="str">
        <f>HYPERLINK("https://www.cadth.ca/etravirine", "Intelence")</f>
        <v>Intelence</v>
      </c>
      <c r="B349" t="s">
        <v>1175</v>
      </c>
      <c r="C349" t="s">
        <v>300</v>
      </c>
      <c r="D349" t="s">
        <v>46</v>
      </c>
      <c r="E349" t="s">
        <v>40</v>
      </c>
      <c r="F349" s="3">
        <v>39540</v>
      </c>
      <c r="G349" s="3">
        <v>39674</v>
      </c>
      <c r="H349" t="s">
        <v>1176</v>
      </c>
      <c r="I349" t="s">
        <v>33</v>
      </c>
      <c r="N349" s="3"/>
      <c r="O349" t="s">
        <v>334</v>
      </c>
      <c r="Q349" s="3"/>
      <c r="R349" s="3"/>
      <c r="S349" s="3"/>
      <c r="T349" t="s">
        <v>36</v>
      </c>
      <c r="V349" s="3"/>
      <c r="W349" s="3"/>
      <c r="X349" s="3"/>
      <c r="Y349" s="3"/>
      <c r="Z349" s="3"/>
      <c r="AA349" s="3"/>
      <c r="AB349" s="3"/>
    </row>
    <row r="350" spans="1:29" x14ac:dyDescent="0.3">
      <c r="A350" s="2" t="str">
        <f>HYPERLINK("https://www.cadth.ca/prasterone", "Intrarosa")</f>
        <v>Intrarosa</v>
      </c>
      <c r="B350" t="s">
        <v>1177</v>
      </c>
      <c r="C350" t="s">
        <v>1178</v>
      </c>
      <c r="E350" t="s">
        <v>484</v>
      </c>
      <c r="F350" s="3"/>
      <c r="G350" s="3"/>
      <c r="H350" t="s">
        <v>1179</v>
      </c>
      <c r="I350" t="s">
        <v>33</v>
      </c>
      <c r="N350" s="3"/>
      <c r="O350" t="s">
        <v>1180</v>
      </c>
      <c r="Q350" s="3"/>
      <c r="R350" s="3"/>
      <c r="S350" s="3"/>
      <c r="T350" t="s">
        <v>36</v>
      </c>
      <c r="V350" s="3"/>
      <c r="W350" s="3"/>
      <c r="X350" s="3"/>
      <c r="Y350" s="3"/>
      <c r="Z350" s="3"/>
      <c r="AA350" s="3"/>
      <c r="AB350" s="3"/>
    </row>
    <row r="351" spans="1:29" x14ac:dyDescent="0.3">
      <c r="A351" s="2" t="str">
        <f>HYPERLINK("https://www.cadth.ca/guanfacine-hydrochloride", "Intuniv XR")</f>
        <v>Intuniv XR</v>
      </c>
      <c r="B351" t="s">
        <v>1181</v>
      </c>
      <c r="C351" t="s">
        <v>1182</v>
      </c>
      <c r="D351" t="s">
        <v>39</v>
      </c>
      <c r="E351" t="s">
        <v>40</v>
      </c>
      <c r="F351" s="3">
        <v>41513</v>
      </c>
      <c r="G351" s="3">
        <v>41906</v>
      </c>
      <c r="H351" t="s">
        <v>1183</v>
      </c>
      <c r="I351" t="s">
        <v>33</v>
      </c>
      <c r="N351" s="3"/>
      <c r="O351" t="s">
        <v>140</v>
      </c>
      <c r="Q351" s="3"/>
      <c r="R351" s="3"/>
      <c r="S351" s="3"/>
      <c r="T351" t="s">
        <v>36</v>
      </c>
      <c r="V351" s="3"/>
      <c r="W351" s="3"/>
      <c r="X351" s="3"/>
      <c r="Y351" s="3"/>
      <c r="Z351" s="3"/>
      <c r="AA351" s="3"/>
      <c r="AB351" s="3"/>
    </row>
    <row r="352" spans="1:29" x14ac:dyDescent="0.3">
      <c r="A352" s="2" t="str">
        <f>HYPERLINK("https://www.cadth.ca/paliperidone", "Invega")</f>
        <v>Invega</v>
      </c>
      <c r="B352" t="s">
        <v>1184</v>
      </c>
      <c r="C352" t="s">
        <v>38</v>
      </c>
      <c r="D352" t="s">
        <v>39</v>
      </c>
      <c r="E352" t="s">
        <v>40</v>
      </c>
      <c r="F352" s="3">
        <v>39387</v>
      </c>
      <c r="G352" s="3">
        <v>39596</v>
      </c>
      <c r="H352" t="s">
        <v>1185</v>
      </c>
      <c r="I352" t="s">
        <v>33</v>
      </c>
      <c r="N352" s="3"/>
      <c r="O352" t="s">
        <v>334</v>
      </c>
      <c r="Q352" s="3"/>
      <c r="R352" s="3"/>
      <c r="S352" s="3"/>
      <c r="T352" t="s">
        <v>36</v>
      </c>
      <c r="V352" s="3"/>
      <c r="W352" s="3"/>
      <c r="X352" s="3"/>
      <c r="Y352" s="3"/>
      <c r="Z352" s="3"/>
      <c r="AA352" s="3"/>
      <c r="AB352" s="3"/>
    </row>
    <row r="353" spans="1:28" x14ac:dyDescent="0.3">
      <c r="A353" s="2" t="str">
        <f>HYPERLINK("https://www.cadth.ca/paliperidone-palmitate", "Invega Sustenna")</f>
        <v>Invega Sustenna</v>
      </c>
      <c r="B353" t="s">
        <v>1186</v>
      </c>
      <c r="C353" t="s">
        <v>38</v>
      </c>
      <c r="D353" t="s">
        <v>39</v>
      </c>
      <c r="E353" t="s">
        <v>40</v>
      </c>
      <c r="F353" s="3">
        <v>40368</v>
      </c>
      <c r="G353" s="3">
        <v>40658</v>
      </c>
      <c r="H353" t="s">
        <v>1187</v>
      </c>
      <c r="I353" t="s">
        <v>33</v>
      </c>
      <c r="N353" s="3"/>
      <c r="O353" t="s">
        <v>334</v>
      </c>
      <c r="Q353" s="3"/>
      <c r="R353" s="3"/>
      <c r="S353" s="3"/>
      <c r="T353" t="s">
        <v>36</v>
      </c>
      <c r="V353" s="3"/>
      <c r="W353" s="3"/>
      <c r="X353" s="3"/>
      <c r="Y353" s="3"/>
      <c r="Z353" s="3"/>
      <c r="AA353" s="3"/>
      <c r="AB353" s="3"/>
    </row>
    <row r="354" spans="1:28" x14ac:dyDescent="0.3">
      <c r="A354" s="2" t="str">
        <f>HYPERLINK("https://www.cadth.ca/canagliflozin-and-metformin-hydrochloride", "Invokamet")</f>
        <v>Invokamet</v>
      </c>
      <c r="B354" t="s">
        <v>1188</v>
      </c>
      <c r="C354" t="s">
        <v>1189</v>
      </c>
      <c r="D354" t="s">
        <v>55</v>
      </c>
      <c r="E354" t="s">
        <v>40</v>
      </c>
      <c r="F354" s="3">
        <v>42432</v>
      </c>
      <c r="G354" s="3">
        <v>42607</v>
      </c>
      <c r="H354" t="s">
        <v>1190</v>
      </c>
      <c r="I354" t="s">
        <v>33</v>
      </c>
      <c r="N354" s="3"/>
      <c r="O354" t="s">
        <v>665</v>
      </c>
      <c r="Q354" s="3"/>
      <c r="R354" s="3"/>
      <c r="S354" s="3"/>
      <c r="T354" t="s">
        <v>36</v>
      </c>
      <c r="V354" s="3"/>
      <c r="W354" s="3"/>
      <c r="X354" s="3"/>
      <c r="Y354" s="3"/>
      <c r="Z354" s="3"/>
      <c r="AA354" s="3"/>
      <c r="AB354" s="3"/>
    </row>
    <row r="355" spans="1:28" x14ac:dyDescent="0.3">
      <c r="A355" s="2" t="str">
        <f>HYPERLINK("https://www.cadth.ca/canagliflozin", "Invokana")</f>
        <v>Invokana</v>
      </c>
      <c r="B355" t="s">
        <v>1191</v>
      </c>
      <c r="C355" t="s">
        <v>1192</v>
      </c>
      <c r="E355" t="s">
        <v>113</v>
      </c>
      <c r="F355" s="3">
        <v>41430</v>
      </c>
      <c r="G355" s="3"/>
      <c r="H355" t="s">
        <v>1193</v>
      </c>
      <c r="I355" t="s">
        <v>33</v>
      </c>
      <c r="N355" s="3"/>
      <c r="O355" t="s">
        <v>665</v>
      </c>
      <c r="Q355" s="3"/>
      <c r="R355" s="3"/>
      <c r="S355" s="3"/>
      <c r="T355" t="s">
        <v>36</v>
      </c>
      <c r="V355" s="3"/>
      <c r="W355" s="3"/>
      <c r="X355" s="3"/>
      <c r="Y355" s="3"/>
      <c r="Z355" s="3"/>
      <c r="AA355" s="3"/>
      <c r="AB355" s="3"/>
    </row>
    <row r="356" spans="1:28" x14ac:dyDescent="0.3">
      <c r="A356" s="2" t="str">
        <f>HYPERLINK("https://www.cadth.ca/canagliflozin-0", "Invokana")</f>
        <v>Invokana</v>
      </c>
      <c r="B356" t="s">
        <v>1191</v>
      </c>
      <c r="C356" t="s">
        <v>496</v>
      </c>
      <c r="D356" t="s">
        <v>50</v>
      </c>
      <c r="E356" t="s">
        <v>40</v>
      </c>
      <c r="F356" s="3">
        <v>41694</v>
      </c>
      <c r="G356" s="3">
        <v>42019</v>
      </c>
      <c r="H356" t="s">
        <v>1194</v>
      </c>
      <c r="I356" t="s">
        <v>33</v>
      </c>
      <c r="N356" s="3"/>
      <c r="O356" t="s">
        <v>665</v>
      </c>
      <c r="Q356" s="3"/>
      <c r="R356" s="3"/>
      <c r="S356" s="3"/>
      <c r="T356" t="s">
        <v>36</v>
      </c>
      <c r="V356" s="3"/>
      <c r="W356" s="3"/>
      <c r="X356" s="3"/>
      <c r="Y356" s="3"/>
      <c r="Z356" s="3"/>
      <c r="AA356" s="3"/>
      <c r="AB356" s="3"/>
    </row>
    <row r="357" spans="1:28" x14ac:dyDescent="0.3">
      <c r="A357" s="2" t="str">
        <f>HYPERLINK("https://www.cadth.ca/gefitinib", "Iressa")</f>
        <v>Iressa</v>
      </c>
      <c r="B357" t="s">
        <v>1195</v>
      </c>
      <c r="C357" t="s">
        <v>1196</v>
      </c>
      <c r="D357" t="s">
        <v>39</v>
      </c>
      <c r="E357" t="s">
        <v>40</v>
      </c>
      <c r="F357" s="3">
        <v>37977</v>
      </c>
      <c r="G357" s="3">
        <v>38161</v>
      </c>
      <c r="H357" t="s">
        <v>1197</v>
      </c>
      <c r="I357" t="s">
        <v>33</v>
      </c>
      <c r="N357" s="3"/>
      <c r="O357" t="s">
        <v>1198</v>
      </c>
      <c r="Q357" s="3"/>
      <c r="R357" s="3"/>
      <c r="S357" s="3"/>
      <c r="T357" t="s">
        <v>36</v>
      </c>
      <c r="V357" s="3"/>
      <c r="W357" s="3"/>
      <c r="X357" s="3"/>
      <c r="Y357" s="3"/>
      <c r="Z357" s="3"/>
      <c r="AA357" s="3"/>
      <c r="AB357" s="3"/>
    </row>
    <row r="358" spans="1:28" x14ac:dyDescent="0.3">
      <c r="A358" s="2" t="str">
        <f>HYPERLINK("https://www.cadth.ca/raltegravir-0", "Isentress")</f>
        <v>Isentress</v>
      </c>
      <c r="B358" t="s">
        <v>1199</v>
      </c>
      <c r="C358" t="s">
        <v>1200</v>
      </c>
      <c r="D358" t="s">
        <v>39</v>
      </c>
      <c r="E358" t="s">
        <v>40</v>
      </c>
      <c r="F358" s="3">
        <v>40151</v>
      </c>
      <c r="G358" s="3">
        <v>40352</v>
      </c>
      <c r="H358" t="s">
        <v>1201</v>
      </c>
      <c r="I358" t="s">
        <v>33</v>
      </c>
      <c r="N358" s="3"/>
      <c r="O358" t="s">
        <v>789</v>
      </c>
      <c r="Q358" s="3"/>
      <c r="R358" s="3"/>
      <c r="S358" s="3"/>
      <c r="T358" t="s">
        <v>36</v>
      </c>
      <c r="V358" s="3"/>
      <c r="W358" s="3"/>
      <c r="X358" s="3"/>
      <c r="Y358" s="3"/>
      <c r="Z358" s="3"/>
      <c r="AA358" s="3"/>
      <c r="AB358" s="3"/>
    </row>
    <row r="359" spans="1:28" x14ac:dyDescent="0.3">
      <c r="A359" s="2" t="str">
        <f>HYPERLINK("https://www.cadth.ca/raltegravir", "Isentress")</f>
        <v>Isentress</v>
      </c>
      <c r="B359" t="s">
        <v>1199</v>
      </c>
      <c r="C359" t="s">
        <v>300</v>
      </c>
      <c r="D359" t="s">
        <v>46</v>
      </c>
      <c r="E359" t="s">
        <v>40</v>
      </c>
      <c r="F359" s="3">
        <v>39415</v>
      </c>
      <c r="G359" s="3">
        <v>39582</v>
      </c>
      <c r="H359" t="s">
        <v>1202</v>
      </c>
      <c r="I359" t="s">
        <v>33</v>
      </c>
      <c r="N359" s="3"/>
      <c r="O359" t="s">
        <v>789</v>
      </c>
      <c r="Q359" s="3"/>
      <c r="R359" s="3"/>
      <c r="S359" s="3"/>
      <c r="T359" t="s">
        <v>36</v>
      </c>
      <c r="V359" s="3"/>
      <c r="W359" s="3"/>
      <c r="X359" s="3"/>
      <c r="Y359" s="3"/>
      <c r="Z359" s="3"/>
      <c r="AA359" s="3"/>
      <c r="AB359" s="3"/>
    </row>
    <row r="360" spans="1:28" x14ac:dyDescent="0.3">
      <c r="A360" s="2" t="str">
        <f>HYPERLINK("https://www.cadth.ca/node/79657", "Istodax")</f>
        <v>Istodax</v>
      </c>
      <c r="B360" t="s">
        <v>1203</v>
      </c>
      <c r="C360" t="s">
        <v>1204</v>
      </c>
      <c r="D360" t="s">
        <v>55</v>
      </c>
      <c r="E360" t="s">
        <v>40</v>
      </c>
      <c r="F360" s="3">
        <v>41974</v>
      </c>
      <c r="G360" s="3">
        <v>42143</v>
      </c>
      <c r="H360" t="s">
        <v>1205</v>
      </c>
      <c r="I360" t="s">
        <v>33</v>
      </c>
      <c r="J360" t="s">
        <v>1206</v>
      </c>
      <c r="K360" t="s">
        <v>96</v>
      </c>
      <c r="L360" t="s">
        <v>1207</v>
      </c>
      <c r="N360" s="3">
        <v>41563</v>
      </c>
      <c r="O360" t="s">
        <v>61</v>
      </c>
      <c r="P360" t="s">
        <v>61</v>
      </c>
      <c r="Q360" s="3"/>
      <c r="R360" s="3"/>
      <c r="S360" s="3">
        <v>41991</v>
      </c>
      <c r="U360" t="s">
        <v>62</v>
      </c>
      <c r="V360" s="3">
        <v>41988</v>
      </c>
      <c r="W360" s="3">
        <v>42039</v>
      </c>
      <c r="X360" s="3">
        <v>42110</v>
      </c>
      <c r="Y360" s="3">
        <v>42124</v>
      </c>
      <c r="Z360" s="3">
        <v>42138</v>
      </c>
      <c r="AA360" s="3"/>
      <c r="AB360" s="3">
        <v>42158</v>
      </c>
    </row>
    <row r="361" spans="1:28" x14ac:dyDescent="0.3">
      <c r="A361" s="2" t="str">
        <f>HYPERLINK("https://www.cadth.ca/travoprost-ophthalmic-solution", "Izba")</f>
        <v>Izba</v>
      </c>
      <c r="B361" t="s">
        <v>1208</v>
      </c>
      <c r="C361" t="s">
        <v>336</v>
      </c>
      <c r="D361" t="s">
        <v>55</v>
      </c>
      <c r="E361" t="s">
        <v>40</v>
      </c>
      <c r="F361" s="3">
        <v>42795</v>
      </c>
      <c r="G361" s="3">
        <v>43033</v>
      </c>
      <c r="H361" t="s">
        <v>1209</v>
      </c>
      <c r="I361" t="s">
        <v>33</v>
      </c>
      <c r="N361" s="3"/>
      <c r="O361" t="s">
        <v>71</v>
      </c>
      <c r="Q361" s="3"/>
      <c r="R361" s="3"/>
      <c r="S361" s="3"/>
      <c r="T361" t="s">
        <v>36</v>
      </c>
      <c r="V361" s="3"/>
      <c r="W361" s="3"/>
      <c r="X361" s="3"/>
      <c r="Y361" s="3"/>
      <c r="Z361" s="3"/>
      <c r="AA361" s="3"/>
      <c r="AB361" s="3"/>
    </row>
    <row r="362" spans="1:28" x14ac:dyDescent="0.3">
      <c r="A362" s="2" t="str">
        <f>HYPERLINK("https://www.cadth.ca/ruxolitinib", "Jakavi")</f>
        <v>Jakavi</v>
      </c>
      <c r="B362" t="s">
        <v>1210</v>
      </c>
      <c r="C362" t="s">
        <v>1211</v>
      </c>
      <c r="E362" t="s">
        <v>31</v>
      </c>
      <c r="F362" s="3">
        <v>44418</v>
      </c>
      <c r="G362" s="3"/>
      <c r="H362" t="s">
        <v>1212</v>
      </c>
      <c r="I362" t="s">
        <v>33</v>
      </c>
      <c r="N362" s="3"/>
      <c r="O362" t="s">
        <v>71</v>
      </c>
      <c r="Q362" s="3"/>
      <c r="R362" s="3"/>
      <c r="S362" s="3"/>
      <c r="T362" t="s">
        <v>36</v>
      </c>
      <c r="V362" s="3"/>
      <c r="W362" s="3"/>
      <c r="X362" s="3"/>
      <c r="Y362" s="3"/>
      <c r="Z362" s="3"/>
      <c r="AA362" s="3"/>
      <c r="AB362" s="3"/>
    </row>
    <row r="363" spans="1:28" x14ac:dyDescent="0.3">
      <c r="A363" s="2" t="str">
        <f>HYPERLINK("https://www.cadth.ca/node/79658", "Jakavi")</f>
        <v>Jakavi</v>
      </c>
      <c r="B363" t="s">
        <v>1213</v>
      </c>
      <c r="C363" t="s">
        <v>1164</v>
      </c>
      <c r="D363" t="s">
        <v>55</v>
      </c>
      <c r="E363" t="s">
        <v>40</v>
      </c>
      <c r="F363" s="3">
        <v>41085</v>
      </c>
      <c r="G363" s="3">
        <v>41288</v>
      </c>
      <c r="H363" t="s">
        <v>1214</v>
      </c>
      <c r="I363" t="s">
        <v>33</v>
      </c>
      <c r="J363" t="s">
        <v>1215</v>
      </c>
      <c r="K363" t="s">
        <v>673</v>
      </c>
      <c r="L363" t="s">
        <v>1216</v>
      </c>
      <c r="N363" s="3">
        <v>41079</v>
      </c>
      <c r="O363" t="s">
        <v>71</v>
      </c>
      <c r="P363" t="s">
        <v>71</v>
      </c>
      <c r="Q363" s="3"/>
      <c r="R363" s="3"/>
      <c r="S363" s="3">
        <v>41093</v>
      </c>
      <c r="U363" t="s">
        <v>62</v>
      </c>
      <c r="V363" s="3">
        <v>41100</v>
      </c>
      <c r="W363" s="3">
        <v>41136</v>
      </c>
      <c r="X363" s="3">
        <v>41200</v>
      </c>
      <c r="Y363" s="3">
        <v>41214</v>
      </c>
      <c r="Z363" s="3">
        <v>41229</v>
      </c>
      <c r="AA363" s="3"/>
      <c r="AB363" s="3">
        <v>41303</v>
      </c>
    </row>
    <row r="364" spans="1:28" x14ac:dyDescent="0.3">
      <c r="A364" s="2" t="str">
        <f>HYPERLINK("https://www.cadth.ca/node/89305", "Jakavi")</f>
        <v>Jakavi</v>
      </c>
      <c r="B364" t="s">
        <v>1213</v>
      </c>
      <c r="C364" t="s">
        <v>1217</v>
      </c>
      <c r="D364" t="s">
        <v>55</v>
      </c>
      <c r="E364" t="s">
        <v>40</v>
      </c>
      <c r="F364" s="3">
        <v>42243</v>
      </c>
      <c r="G364" s="3">
        <v>42432</v>
      </c>
      <c r="H364" t="s">
        <v>1218</v>
      </c>
      <c r="I364" t="s">
        <v>33</v>
      </c>
      <c r="J364" t="s">
        <v>1219</v>
      </c>
      <c r="K364" t="s">
        <v>673</v>
      </c>
      <c r="L364" t="s">
        <v>1220</v>
      </c>
      <c r="M364" t="s">
        <v>60</v>
      </c>
      <c r="N364" s="3">
        <v>42332</v>
      </c>
      <c r="O364" t="s">
        <v>71</v>
      </c>
      <c r="P364" t="s">
        <v>71</v>
      </c>
      <c r="Q364" s="3"/>
      <c r="R364" s="3"/>
      <c r="S364" s="3">
        <v>42250</v>
      </c>
      <c r="U364" t="s">
        <v>62</v>
      </c>
      <c r="V364" s="3">
        <v>42258</v>
      </c>
      <c r="W364" s="3">
        <v>42297</v>
      </c>
      <c r="X364" s="3">
        <v>42355</v>
      </c>
      <c r="Y364" s="3">
        <v>42377</v>
      </c>
      <c r="Z364" s="3">
        <v>42391</v>
      </c>
      <c r="AA364" s="3"/>
      <c r="AB364" s="3">
        <v>42447</v>
      </c>
    </row>
    <row r="365" spans="1:28" x14ac:dyDescent="0.3">
      <c r="A365" s="2" t="str">
        <f>HYPERLINK("https://www.cadth.ca/ruxolitinib-0", "Jakavi")</f>
        <v>Jakavi</v>
      </c>
      <c r="B365" t="s">
        <v>1210</v>
      </c>
      <c r="C365" t="s">
        <v>1211</v>
      </c>
      <c r="E365" t="s">
        <v>31</v>
      </c>
      <c r="F365" s="3">
        <v>44418</v>
      </c>
      <c r="G365" s="3"/>
      <c r="H365" t="s">
        <v>1221</v>
      </c>
      <c r="I365" t="s">
        <v>33</v>
      </c>
      <c r="N365" s="3"/>
      <c r="O365" t="s">
        <v>71</v>
      </c>
      <c r="Q365" s="3"/>
      <c r="R365" s="3"/>
      <c r="S365" s="3"/>
      <c r="T365" t="s">
        <v>36</v>
      </c>
      <c r="V365" s="3"/>
      <c r="W365" s="3"/>
      <c r="X365" s="3"/>
      <c r="Y365" s="3"/>
      <c r="Z365" s="3"/>
      <c r="AA365" s="3"/>
      <c r="AB365" s="3"/>
    </row>
    <row r="366" spans="1:28" x14ac:dyDescent="0.3">
      <c r="A366" s="2" t="str">
        <f>HYPERLINK("https://www.cadth.ca/sitagliptin-phosphate-monohydrate-metformin-hydrochloride", "Janumet")</f>
        <v>Janumet</v>
      </c>
      <c r="B366" t="s">
        <v>1222</v>
      </c>
      <c r="C366" t="s">
        <v>1223</v>
      </c>
      <c r="D366" t="s">
        <v>46</v>
      </c>
      <c r="E366" t="s">
        <v>40</v>
      </c>
      <c r="F366" s="3">
        <v>40121</v>
      </c>
      <c r="G366" s="3">
        <v>40352</v>
      </c>
      <c r="H366" t="s">
        <v>1224</v>
      </c>
      <c r="I366" t="s">
        <v>33</v>
      </c>
      <c r="N366" s="3"/>
      <c r="O366" t="s">
        <v>789</v>
      </c>
      <c r="Q366" s="3"/>
      <c r="R366" s="3"/>
      <c r="S366" s="3"/>
      <c r="T366" t="s">
        <v>36</v>
      </c>
      <c r="V366" s="3"/>
      <c r="W366" s="3"/>
      <c r="X366" s="3"/>
      <c r="Y366" s="3"/>
      <c r="Z366" s="3"/>
      <c r="AA366" s="3"/>
      <c r="AB366" s="3"/>
    </row>
    <row r="367" spans="1:28" x14ac:dyDescent="0.3">
      <c r="A367" s="2" t="str">
        <f>HYPERLINK("https://www.cadth.ca/sitagliptin-phosphate", "Januvia")</f>
        <v>Januvia</v>
      </c>
      <c r="B367" t="s">
        <v>1225</v>
      </c>
      <c r="C367" t="s">
        <v>1223</v>
      </c>
      <c r="D367" t="s">
        <v>39</v>
      </c>
      <c r="E367" t="s">
        <v>40</v>
      </c>
      <c r="F367" s="3">
        <v>39436</v>
      </c>
      <c r="G367" s="3">
        <v>39617</v>
      </c>
      <c r="H367" t="s">
        <v>1226</v>
      </c>
      <c r="I367" t="s">
        <v>33</v>
      </c>
      <c r="N367" s="3"/>
      <c r="O367" t="s">
        <v>789</v>
      </c>
      <c r="Q367" s="3"/>
      <c r="R367" s="3"/>
      <c r="S367" s="3"/>
      <c r="T367" t="s">
        <v>36</v>
      </c>
      <c r="V367" s="3"/>
      <c r="W367" s="3"/>
      <c r="X367" s="3"/>
      <c r="Y367" s="3"/>
      <c r="Z367" s="3"/>
      <c r="AA367" s="3"/>
      <c r="AB367" s="3"/>
    </row>
    <row r="368" spans="1:28" x14ac:dyDescent="0.3">
      <c r="A368" s="2" t="str">
        <f>HYPERLINK("https://www.cadth.ca/sitagliptin-phosphate-0", "Januvia")</f>
        <v>Januvia</v>
      </c>
      <c r="B368" t="s">
        <v>1225</v>
      </c>
      <c r="C368" t="s">
        <v>1223</v>
      </c>
      <c r="D368" t="s">
        <v>46</v>
      </c>
      <c r="E368" t="s">
        <v>40</v>
      </c>
      <c r="F368" s="3">
        <v>40115</v>
      </c>
      <c r="G368" s="3">
        <v>40352</v>
      </c>
      <c r="H368" t="s">
        <v>1227</v>
      </c>
      <c r="I368" t="s">
        <v>33</v>
      </c>
      <c r="N368" s="3"/>
      <c r="O368" t="s">
        <v>789</v>
      </c>
      <c r="Q368" s="3"/>
      <c r="R368" s="3"/>
      <c r="S368" s="3"/>
      <c r="T368" t="s">
        <v>142</v>
      </c>
      <c r="V368" s="3"/>
      <c r="W368" s="3"/>
      <c r="X368" s="3"/>
      <c r="Y368" s="3"/>
      <c r="Z368" s="3"/>
      <c r="AA368" s="3"/>
      <c r="AB368" s="3"/>
    </row>
    <row r="369" spans="1:29" x14ac:dyDescent="0.3">
      <c r="A369" s="2" t="str">
        <f>HYPERLINK("https://www.cadth.ca/empagliflozin", "Jardiance")</f>
        <v>Jardiance</v>
      </c>
      <c r="B369" t="s">
        <v>1228</v>
      </c>
      <c r="C369" t="s">
        <v>496</v>
      </c>
      <c r="D369" t="s">
        <v>46</v>
      </c>
      <c r="E369" t="s">
        <v>40</v>
      </c>
      <c r="F369" s="3">
        <v>42117</v>
      </c>
      <c r="G369" s="3">
        <v>42292</v>
      </c>
      <c r="H369" t="s">
        <v>1229</v>
      </c>
      <c r="I369" t="s">
        <v>33</v>
      </c>
      <c r="N369" s="3"/>
      <c r="O369" t="s">
        <v>1169</v>
      </c>
      <c r="Q369" s="3"/>
      <c r="R369" s="3"/>
      <c r="S369" s="3"/>
      <c r="T369" t="s">
        <v>36</v>
      </c>
      <c r="V369" s="3"/>
      <c r="W369" s="3"/>
      <c r="X369" s="3"/>
      <c r="Y369" s="3"/>
      <c r="Z369" s="3"/>
      <c r="AA369" s="3"/>
      <c r="AB369" s="3"/>
    </row>
    <row r="370" spans="1:29" x14ac:dyDescent="0.3">
      <c r="A370" s="2" t="str">
        <f>HYPERLINK("https://www.cadth.ca/empagliflozin-0", "Jardiance")</f>
        <v>Jardiance</v>
      </c>
      <c r="B370" t="s">
        <v>1228</v>
      </c>
      <c r="C370" t="s">
        <v>1230</v>
      </c>
      <c r="D370" t="s">
        <v>55</v>
      </c>
      <c r="E370" t="s">
        <v>40</v>
      </c>
      <c r="F370" s="3">
        <v>42487</v>
      </c>
      <c r="G370" s="3">
        <v>42669</v>
      </c>
      <c r="H370" t="s">
        <v>1231</v>
      </c>
      <c r="I370" t="s">
        <v>33</v>
      </c>
      <c r="N370" s="3"/>
      <c r="O370" t="s">
        <v>1169</v>
      </c>
      <c r="Q370" s="3"/>
      <c r="R370" s="3"/>
      <c r="S370" s="3"/>
      <c r="T370" t="s">
        <v>36</v>
      </c>
      <c r="V370" s="3"/>
      <c r="W370" s="3"/>
      <c r="X370" s="3"/>
      <c r="Y370" s="3"/>
      <c r="Z370" s="3"/>
      <c r="AA370" s="3"/>
      <c r="AB370" s="3"/>
    </row>
    <row r="371" spans="1:29" x14ac:dyDescent="0.3">
      <c r="A371" s="2" t="str">
        <f>HYPERLINK("https://www.cadth.ca/linagliptin-metformin", "Jentadueto")</f>
        <v>Jentadueto</v>
      </c>
      <c r="B371" t="s">
        <v>1232</v>
      </c>
      <c r="C371" t="s">
        <v>496</v>
      </c>
      <c r="D371" t="s">
        <v>50</v>
      </c>
      <c r="E371" t="s">
        <v>40</v>
      </c>
      <c r="F371" s="3">
        <v>41341</v>
      </c>
      <c r="G371" s="3">
        <v>41564</v>
      </c>
      <c r="H371" t="s">
        <v>1233</v>
      </c>
      <c r="I371" t="s">
        <v>33</v>
      </c>
      <c r="N371" s="3"/>
      <c r="O371" t="s">
        <v>1169</v>
      </c>
      <c r="Q371" s="3"/>
      <c r="R371" s="3"/>
      <c r="S371" s="3"/>
      <c r="T371" t="s">
        <v>36</v>
      </c>
      <c r="V371" s="3"/>
      <c r="W371" s="3"/>
      <c r="X371" s="3"/>
      <c r="Y371" s="3"/>
      <c r="Z371" s="3"/>
      <c r="AA371" s="3"/>
      <c r="AB371" s="3"/>
    </row>
    <row r="372" spans="1:29" x14ac:dyDescent="0.3">
      <c r="A372" s="2" t="str">
        <f>HYPERLINK("https://www.cadth.ca/ocriplasmin", "Jetrea")</f>
        <v>Jetrea</v>
      </c>
      <c r="B372" t="s">
        <v>1234</v>
      </c>
      <c r="C372" t="s">
        <v>1235</v>
      </c>
      <c r="D372" t="s">
        <v>50</v>
      </c>
      <c r="E372" t="s">
        <v>40</v>
      </c>
      <c r="F372" s="3">
        <v>41431</v>
      </c>
      <c r="G372" s="3">
        <v>41628</v>
      </c>
      <c r="H372" t="s">
        <v>1236</v>
      </c>
      <c r="I372" t="s">
        <v>33</v>
      </c>
      <c r="N372" s="3"/>
      <c r="O372" t="s">
        <v>338</v>
      </c>
      <c r="Q372" s="3"/>
      <c r="R372" s="3"/>
      <c r="S372" s="3"/>
      <c r="T372" t="s">
        <v>36</v>
      </c>
      <c r="V372" s="3"/>
      <c r="W372" s="3"/>
      <c r="X372" s="3"/>
      <c r="Y372" s="3"/>
      <c r="Z372" s="3"/>
      <c r="AA372" s="3"/>
      <c r="AB372" s="3"/>
    </row>
    <row r="373" spans="1:29" x14ac:dyDescent="0.3">
      <c r="A373" s="2" t="str">
        <f>HYPERLINK("https://www.cadth.ca/tolvaptan-0", "Jinarc")</f>
        <v>Jinarc</v>
      </c>
      <c r="B373" t="s">
        <v>1237</v>
      </c>
      <c r="C373" t="s">
        <v>1238</v>
      </c>
      <c r="D373" t="s">
        <v>39</v>
      </c>
      <c r="E373" t="s">
        <v>40</v>
      </c>
      <c r="F373" s="3">
        <v>42153</v>
      </c>
      <c r="G373" s="3">
        <v>42424</v>
      </c>
      <c r="H373" t="s">
        <v>1239</v>
      </c>
      <c r="I373" t="s">
        <v>33</v>
      </c>
      <c r="N373" s="3"/>
      <c r="O373" t="s">
        <v>1240</v>
      </c>
      <c r="Q373" s="3"/>
      <c r="R373" s="3"/>
      <c r="S373" s="3"/>
      <c r="T373" t="s">
        <v>36</v>
      </c>
      <c r="V373" s="3"/>
      <c r="W373" s="3"/>
      <c r="X373" s="3"/>
      <c r="Y373" s="3"/>
      <c r="Z373" s="3"/>
      <c r="AA373" s="3"/>
      <c r="AB373" s="3"/>
    </row>
    <row r="374" spans="1:29" x14ac:dyDescent="0.3">
      <c r="A374" s="2" t="str">
        <f>HYPERLINK("https://www.cadth.ca/budesonide-0", "Jorveza")</f>
        <v>Jorveza</v>
      </c>
      <c r="B374" t="s">
        <v>1241</v>
      </c>
      <c r="C374" t="s">
        <v>1242</v>
      </c>
      <c r="D374" t="s">
        <v>55</v>
      </c>
      <c r="E374" t="s">
        <v>40</v>
      </c>
      <c r="F374" s="3">
        <v>43777</v>
      </c>
      <c r="G374" s="3">
        <v>44132</v>
      </c>
      <c r="H374" t="s">
        <v>1243</v>
      </c>
      <c r="I374" t="s">
        <v>33</v>
      </c>
      <c r="N374" s="3"/>
      <c r="O374" t="s">
        <v>622</v>
      </c>
      <c r="Q374" s="3"/>
      <c r="R374" s="3"/>
      <c r="S374" s="3"/>
      <c r="T374" t="s">
        <v>36</v>
      </c>
      <c r="V374" s="3"/>
      <c r="W374" s="3"/>
      <c r="X374" s="3"/>
      <c r="Y374" s="3"/>
      <c r="Z374" s="3"/>
      <c r="AA374" s="3"/>
      <c r="AB374" s="3"/>
    </row>
    <row r="375" spans="1:29" x14ac:dyDescent="0.3">
      <c r="A375" s="2" t="str">
        <f>HYPERLINK("https://www.cadth.ca/budesonide-1", "Jorveza")</f>
        <v>Jorveza</v>
      </c>
      <c r="B375" t="s">
        <v>1241</v>
      </c>
      <c r="C375" t="s">
        <v>1244</v>
      </c>
      <c r="D375" t="s">
        <v>55</v>
      </c>
      <c r="E375" t="s">
        <v>31</v>
      </c>
      <c r="F375" s="3">
        <v>44140</v>
      </c>
      <c r="G375" s="3">
        <v>44431</v>
      </c>
      <c r="H375" t="s">
        <v>1245</v>
      </c>
      <c r="I375" t="s">
        <v>33</v>
      </c>
      <c r="N375" s="3"/>
      <c r="O375" t="s">
        <v>1246</v>
      </c>
      <c r="Q375" s="3"/>
      <c r="R375" s="3"/>
      <c r="S375" s="3"/>
      <c r="T375" t="s">
        <v>36</v>
      </c>
      <c r="V375" s="3"/>
      <c r="W375" s="3"/>
      <c r="X375" s="3"/>
      <c r="Y375" s="3"/>
      <c r="Z375" s="3"/>
      <c r="AA375" s="3"/>
      <c r="AB375" s="3"/>
    </row>
    <row r="376" spans="1:29" x14ac:dyDescent="0.3">
      <c r="A376" s="2" t="str">
        <f>HYPERLINK("https://www.cadth.ca/efinaconazole", "Jublia")</f>
        <v>Jublia</v>
      </c>
      <c r="B376" t="s">
        <v>1247</v>
      </c>
      <c r="C376" t="s">
        <v>1248</v>
      </c>
      <c r="D376" t="s">
        <v>127</v>
      </c>
      <c r="E376" t="s">
        <v>40</v>
      </c>
      <c r="F376" s="3">
        <v>43314</v>
      </c>
      <c r="G376" s="3">
        <v>43608</v>
      </c>
      <c r="H376" t="s">
        <v>1249</v>
      </c>
      <c r="I376" t="s">
        <v>33</v>
      </c>
      <c r="N376" s="3"/>
      <c r="O376" t="s">
        <v>593</v>
      </c>
      <c r="Q376" s="3"/>
      <c r="R376" s="3"/>
      <c r="S376" s="3"/>
      <c r="T376" t="s">
        <v>36</v>
      </c>
      <c r="V376" s="3"/>
      <c r="W376" s="3"/>
      <c r="X376" s="3"/>
      <c r="Y376" s="3"/>
      <c r="Z376" s="3"/>
      <c r="AA376" s="3"/>
      <c r="AB376" s="3"/>
    </row>
    <row r="377" spans="1:29" x14ac:dyDescent="0.3">
      <c r="A377" s="2" t="str">
        <f>HYPERLINK("https://www.cadth.ca/dolutegravir-rilpivirine", "Juluca")</f>
        <v>Juluca</v>
      </c>
      <c r="B377" t="s">
        <v>1250</v>
      </c>
      <c r="C377" t="s">
        <v>273</v>
      </c>
      <c r="D377" t="s">
        <v>55</v>
      </c>
      <c r="E377" t="s">
        <v>40</v>
      </c>
      <c r="F377" s="3">
        <v>43090</v>
      </c>
      <c r="G377" s="3">
        <v>43271</v>
      </c>
      <c r="H377" t="s">
        <v>1251</v>
      </c>
      <c r="I377" t="s">
        <v>33</v>
      </c>
      <c r="N377" s="3"/>
      <c r="O377" t="s">
        <v>1252</v>
      </c>
      <c r="Q377" s="3"/>
      <c r="R377" s="3"/>
      <c r="S377" s="3"/>
      <c r="T377" t="s">
        <v>36</v>
      </c>
      <c r="V377" s="3"/>
      <c r="W377" s="3"/>
      <c r="X377" s="3"/>
      <c r="Y377" s="3"/>
      <c r="Z377" s="3"/>
      <c r="AA377" s="3"/>
      <c r="AB377" s="3"/>
    </row>
    <row r="378" spans="1:29" x14ac:dyDescent="0.3">
      <c r="A378" s="2" t="str">
        <f>HYPERLINK("https://www.cadth.ca/hydromorphone-hydrochloride", "Jurnista")</f>
        <v>Jurnista</v>
      </c>
      <c r="B378" t="s">
        <v>1253</v>
      </c>
      <c r="C378" t="s">
        <v>1254</v>
      </c>
      <c r="D378" t="s">
        <v>39</v>
      </c>
      <c r="E378" t="s">
        <v>40</v>
      </c>
      <c r="F378" s="3">
        <v>40151</v>
      </c>
      <c r="G378" s="3">
        <v>40317</v>
      </c>
      <c r="H378" t="s">
        <v>1255</v>
      </c>
      <c r="I378" t="s">
        <v>33</v>
      </c>
      <c r="N378" s="3"/>
      <c r="O378" t="s">
        <v>334</v>
      </c>
      <c r="Q378" s="3"/>
      <c r="R378" s="3"/>
      <c r="S378" s="3"/>
      <c r="T378" t="s">
        <v>36</v>
      </c>
      <c r="V378" s="3"/>
      <c r="W378" s="3"/>
      <c r="X378" s="3"/>
      <c r="Y378" s="3"/>
      <c r="Z378" s="3"/>
      <c r="AA378" s="3"/>
      <c r="AB378" s="3"/>
    </row>
    <row r="379" spans="1:29" x14ac:dyDescent="0.3">
      <c r="A379" s="2" t="str">
        <f>HYPERLINK("https://www.cadth.ca/lomitapide", "Juxtapid")</f>
        <v>Juxtapid</v>
      </c>
      <c r="B379" t="s">
        <v>1256</v>
      </c>
      <c r="C379" t="s">
        <v>1257</v>
      </c>
      <c r="D379" t="s">
        <v>39</v>
      </c>
      <c r="E379" t="s">
        <v>40</v>
      </c>
      <c r="F379" s="3">
        <v>41828</v>
      </c>
      <c r="G379" s="3">
        <v>42111</v>
      </c>
      <c r="H379" t="s">
        <v>1258</v>
      </c>
      <c r="I379" t="s">
        <v>33</v>
      </c>
      <c r="N379" s="3"/>
      <c r="O379" t="s">
        <v>1259</v>
      </c>
      <c r="Q379" s="3"/>
      <c r="R379" s="3"/>
      <c r="S379" s="3"/>
      <c r="T379" t="s">
        <v>36</v>
      </c>
      <c r="V379" s="3"/>
      <c r="W379" s="3"/>
      <c r="X379" s="3"/>
      <c r="Y379" s="3"/>
      <c r="Z379" s="3"/>
      <c r="AA379" s="3"/>
      <c r="AB379" s="3"/>
    </row>
    <row r="380" spans="1:29" x14ac:dyDescent="0.3">
      <c r="A380" s="2" t="str">
        <f>HYPERLINK("https://www.cadth.ca/node/115649", "Kadcyla")</f>
        <v>Kadcyla</v>
      </c>
      <c r="B380" t="s">
        <v>1260</v>
      </c>
      <c r="C380" t="s">
        <v>1261</v>
      </c>
      <c r="D380" t="s">
        <v>109</v>
      </c>
      <c r="E380" t="s">
        <v>40</v>
      </c>
      <c r="F380" s="3">
        <v>43648</v>
      </c>
      <c r="G380" s="3">
        <v>43852</v>
      </c>
      <c r="H380" t="s">
        <v>1262</v>
      </c>
      <c r="I380" t="s">
        <v>33</v>
      </c>
      <c r="J380" t="s">
        <v>1263</v>
      </c>
      <c r="K380" t="s">
        <v>177</v>
      </c>
      <c r="L380" t="s">
        <v>1264</v>
      </c>
      <c r="M380" t="s">
        <v>60</v>
      </c>
      <c r="N380" s="3">
        <v>43794</v>
      </c>
      <c r="O380" t="s">
        <v>80</v>
      </c>
      <c r="P380" t="s">
        <v>80</v>
      </c>
      <c r="Q380" s="3"/>
      <c r="R380" s="3"/>
      <c r="S380" s="3">
        <v>43662</v>
      </c>
      <c r="V380" s="3">
        <v>43662</v>
      </c>
      <c r="W380" s="3">
        <v>43705</v>
      </c>
      <c r="X380" s="3">
        <v>43811</v>
      </c>
      <c r="Y380" s="3">
        <v>43833</v>
      </c>
      <c r="Z380" s="3">
        <v>43847</v>
      </c>
      <c r="AA380" s="3"/>
      <c r="AB380" s="3">
        <v>43867</v>
      </c>
    </row>
    <row r="381" spans="1:29" x14ac:dyDescent="0.3">
      <c r="A381" s="2" t="str">
        <f>HYPERLINK("https://www.cadth.ca/node/79659", "Kadcyla")</f>
        <v>Kadcyla</v>
      </c>
      <c r="B381" t="s">
        <v>1265</v>
      </c>
      <c r="C381" t="s">
        <v>1266</v>
      </c>
      <c r="D381" t="s">
        <v>55</v>
      </c>
      <c r="E381" t="s">
        <v>40</v>
      </c>
      <c r="F381" s="3">
        <v>41348</v>
      </c>
      <c r="G381" s="3">
        <v>41649</v>
      </c>
      <c r="H381" t="s">
        <v>1267</v>
      </c>
      <c r="I381" t="s">
        <v>33</v>
      </c>
      <c r="J381" t="s">
        <v>1268</v>
      </c>
      <c r="K381" t="s">
        <v>177</v>
      </c>
      <c r="L381" t="s">
        <v>1269</v>
      </c>
      <c r="M381" t="s">
        <v>60</v>
      </c>
      <c r="N381" s="3">
        <v>41528</v>
      </c>
      <c r="O381" t="s">
        <v>77</v>
      </c>
      <c r="P381" t="s">
        <v>77</v>
      </c>
      <c r="Q381" s="3"/>
      <c r="R381" s="3"/>
      <c r="S381" s="3">
        <v>41355</v>
      </c>
      <c r="U381" t="s">
        <v>99</v>
      </c>
      <c r="V381" s="3">
        <v>41366</v>
      </c>
      <c r="W381" s="3">
        <v>41480</v>
      </c>
      <c r="X381" s="3">
        <v>41564</v>
      </c>
      <c r="Y381" s="3">
        <v>41578</v>
      </c>
      <c r="Z381" s="3">
        <v>41593</v>
      </c>
      <c r="AA381" s="3"/>
      <c r="AB381" s="3">
        <v>41666</v>
      </c>
      <c r="AC381" t="s">
        <v>63</v>
      </c>
    </row>
    <row r="382" spans="1:29" x14ac:dyDescent="0.3">
      <c r="A382" s="2" t="str">
        <f>HYPERLINK("https://www.cadth.ca/ivacaftor-0", "Kalydeco")</f>
        <v>Kalydeco</v>
      </c>
      <c r="B382" t="s">
        <v>1270</v>
      </c>
      <c r="C382" t="s">
        <v>1271</v>
      </c>
      <c r="D382" t="s">
        <v>50</v>
      </c>
      <c r="E382" t="s">
        <v>40</v>
      </c>
      <c r="F382" s="3">
        <v>41760</v>
      </c>
      <c r="G382" s="3">
        <v>41992</v>
      </c>
      <c r="H382" t="s">
        <v>1272</v>
      </c>
      <c r="I382" t="s">
        <v>33</v>
      </c>
      <c r="N382" s="3"/>
      <c r="O382" t="s">
        <v>1273</v>
      </c>
      <c r="Q382" s="3"/>
      <c r="R382" s="3"/>
      <c r="S382" s="3"/>
      <c r="T382" t="s">
        <v>36</v>
      </c>
      <c r="V382" s="3"/>
      <c r="W382" s="3"/>
      <c r="X382" s="3"/>
      <c r="Y382" s="3"/>
      <c r="Z382" s="3"/>
      <c r="AA382" s="3"/>
      <c r="AB382" s="3"/>
    </row>
    <row r="383" spans="1:29" x14ac:dyDescent="0.3">
      <c r="A383" s="2" t="str">
        <f>HYPERLINK("https://www.cadth.ca/ivacaftor", "Kalydeco")</f>
        <v>Kalydeco</v>
      </c>
      <c r="B383" t="s">
        <v>1270</v>
      </c>
      <c r="C383" t="s">
        <v>1274</v>
      </c>
      <c r="D383" t="s">
        <v>50</v>
      </c>
      <c r="E383" t="s">
        <v>40</v>
      </c>
      <c r="F383" s="3">
        <v>41179</v>
      </c>
      <c r="G383" s="3">
        <v>41355</v>
      </c>
      <c r="H383" t="s">
        <v>1275</v>
      </c>
      <c r="I383" t="s">
        <v>33</v>
      </c>
      <c r="N383" s="3"/>
      <c r="O383" t="s">
        <v>1276</v>
      </c>
      <c r="Q383" s="3"/>
      <c r="R383" s="3"/>
      <c r="S383" s="3"/>
      <c r="T383" t="s">
        <v>36</v>
      </c>
      <c r="V383" s="3"/>
      <c r="W383" s="3"/>
      <c r="X383" s="3"/>
      <c r="Y383" s="3"/>
      <c r="Z383" s="3"/>
      <c r="AA383" s="3"/>
      <c r="AB383" s="3"/>
    </row>
    <row r="384" spans="1:29" x14ac:dyDescent="0.3">
      <c r="A384" s="2" t="str">
        <f>HYPERLINK("https://www.cadth.ca/ivacaftor-1", "Kalydeco")</f>
        <v>Kalydeco</v>
      </c>
      <c r="B384" t="s">
        <v>1270</v>
      </c>
      <c r="C384" t="s">
        <v>1277</v>
      </c>
      <c r="D384" t="s">
        <v>50</v>
      </c>
      <c r="E384" t="s">
        <v>40</v>
      </c>
      <c r="F384" s="3">
        <v>42132</v>
      </c>
      <c r="G384" s="3">
        <v>42327</v>
      </c>
      <c r="H384" t="s">
        <v>1278</v>
      </c>
      <c r="I384" t="s">
        <v>33</v>
      </c>
      <c r="N384" s="3"/>
      <c r="O384" t="s">
        <v>1279</v>
      </c>
      <c r="Q384" s="3"/>
      <c r="R384" s="3"/>
      <c r="S384" s="3"/>
      <c r="T384" t="s">
        <v>36</v>
      </c>
      <c r="V384" s="3"/>
      <c r="W384" s="3"/>
      <c r="X384" s="3"/>
      <c r="Y384" s="3"/>
      <c r="Z384" s="3"/>
      <c r="AA384" s="3"/>
      <c r="AB384" s="3"/>
    </row>
    <row r="385" spans="1:29" x14ac:dyDescent="0.3">
      <c r="A385" s="2" t="str">
        <f>HYPERLINK("https://www.cadth.ca/sebelipase-alfa", "Kanuma")</f>
        <v>Kanuma</v>
      </c>
      <c r="B385" t="s">
        <v>1280</v>
      </c>
      <c r="C385" t="s">
        <v>1281</v>
      </c>
      <c r="D385" t="s">
        <v>55</v>
      </c>
      <c r="E385" t="s">
        <v>40</v>
      </c>
      <c r="F385" s="3">
        <v>43041</v>
      </c>
      <c r="G385" s="3">
        <v>43369</v>
      </c>
      <c r="H385" t="s">
        <v>1282</v>
      </c>
      <c r="I385" t="s">
        <v>33</v>
      </c>
      <c r="N385" s="3"/>
      <c r="O385" t="s">
        <v>1283</v>
      </c>
      <c r="Q385" s="3"/>
      <c r="R385" s="3"/>
      <c r="S385" s="3"/>
      <c r="T385" t="s">
        <v>36</v>
      </c>
      <c r="V385" s="3"/>
      <c r="W385" s="3"/>
      <c r="X385" s="3"/>
      <c r="Y385" s="3"/>
      <c r="Z385" s="3"/>
      <c r="AA385" s="3"/>
      <c r="AB385" s="3"/>
    </row>
    <row r="386" spans="1:29" x14ac:dyDescent="0.3">
      <c r="A386" s="2" t="str">
        <f>HYPERLINK("https://www.cadth.ca/alogliptin-plus-metformin", "Kazano")</f>
        <v>Kazano</v>
      </c>
      <c r="B386" t="s">
        <v>1284</v>
      </c>
      <c r="C386" t="s">
        <v>496</v>
      </c>
      <c r="D386" t="s">
        <v>39</v>
      </c>
      <c r="E386" t="s">
        <v>40</v>
      </c>
      <c r="F386" s="3">
        <v>41669</v>
      </c>
      <c r="G386" s="3">
        <v>42019</v>
      </c>
      <c r="H386" t="s">
        <v>1285</v>
      </c>
      <c r="I386" t="s">
        <v>33</v>
      </c>
      <c r="N386" s="3"/>
      <c r="O386" t="s">
        <v>243</v>
      </c>
      <c r="Q386" s="3"/>
      <c r="R386" s="3"/>
      <c r="S386" s="3"/>
      <c r="T386" t="s">
        <v>36</v>
      </c>
      <c r="V386" s="3"/>
      <c r="W386" s="3"/>
      <c r="X386" s="3"/>
      <c r="Y386" s="3"/>
      <c r="Z386" s="3"/>
      <c r="AA386" s="3"/>
      <c r="AB386" s="3"/>
    </row>
    <row r="387" spans="1:29" x14ac:dyDescent="0.3">
      <c r="A387" s="2" t="str">
        <f>HYPERLINK("https://www.cadth.ca/ofatumumab", "Kesimpta")</f>
        <v>Kesimpta</v>
      </c>
      <c r="B387" t="s">
        <v>1286</v>
      </c>
      <c r="C387" t="s">
        <v>1287</v>
      </c>
      <c r="D387" t="s">
        <v>55</v>
      </c>
      <c r="E387" t="s">
        <v>40</v>
      </c>
      <c r="F387" s="3">
        <v>44068</v>
      </c>
      <c r="G387" s="3">
        <v>44252</v>
      </c>
      <c r="H387" t="s">
        <v>1288</v>
      </c>
      <c r="I387" t="s">
        <v>33</v>
      </c>
      <c r="N387" s="3"/>
      <c r="O387" t="s">
        <v>71</v>
      </c>
      <c r="Q387" s="3"/>
      <c r="R387" s="3"/>
      <c r="S387" s="3"/>
      <c r="T387" t="s">
        <v>36</v>
      </c>
      <c r="V387" s="3"/>
      <c r="W387" s="3"/>
      <c r="X387" s="3"/>
      <c r="Y387" s="3"/>
      <c r="Z387" s="3"/>
      <c r="AA387" s="3"/>
      <c r="AB387" s="3"/>
    </row>
    <row r="388" spans="1:29" x14ac:dyDescent="0.3">
      <c r="A388" s="2" t="str">
        <f>HYPERLINK("https://www.cadth.ca/sarilumab", "Kevzara")</f>
        <v>Kevzara</v>
      </c>
      <c r="B388" t="s">
        <v>1289</v>
      </c>
      <c r="C388" t="s">
        <v>84</v>
      </c>
      <c r="D388" t="s">
        <v>55</v>
      </c>
      <c r="E388" t="s">
        <v>40</v>
      </c>
      <c r="F388" s="3">
        <v>42655</v>
      </c>
      <c r="G388" s="3">
        <v>42843</v>
      </c>
      <c r="H388" t="s">
        <v>1290</v>
      </c>
      <c r="I388" t="s">
        <v>33</v>
      </c>
      <c r="N388" s="3"/>
      <c r="O388" t="s">
        <v>535</v>
      </c>
      <c r="Q388" s="3"/>
      <c r="R388" s="3"/>
      <c r="S388" s="3"/>
      <c r="T388" t="s">
        <v>36</v>
      </c>
      <c r="V388" s="3"/>
      <c r="W388" s="3"/>
      <c r="X388" s="3"/>
      <c r="Y388" s="3"/>
      <c r="Z388" s="3"/>
      <c r="AA388" s="3"/>
      <c r="AB388" s="3"/>
    </row>
    <row r="389" spans="1:29" x14ac:dyDescent="0.3">
      <c r="A389" s="2" t="str">
        <f>HYPERLINK("https://www.cadth.ca/node/119646", "Keytruda")</f>
        <v>Keytruda</v>
      </c>
      <c r="B389" t="s">
        <v>1291</v>
      </c>
      <c r="F389" s="3"/>
      <c r="G389" s="3"/>
      <c r="I389" t="s">
        <v>33</v>
      </c>
      <c r="K389" t="s">
        <v>311</v>
      </c>
      <c r="N389" s="3"/>
      <c r="O389" t="s">
        <v>289</v>
      </c>
      <c r="Q389" s="3"/>
      <c r="R389" s="3"/>
      <c r="S389" s="3"/>
      <c r="V389" s="3"/>
      <c r="W389" s="3"/>
      <c r="X389" s="3"/>
      <c r="Y389" s="3"/>
      <c r="Z389" s="3"/>
      <c r="AA389" s="3"/>
      <c r="AB389" s="3"/>
      <c r="AC389" t="s">
        <v>1292</v>
      </c>
    </row>
    <row r="390" spans="1:29" x14ac:dyDescent="0.3">
      <c r="A390" s="2" t="str">
        <f>HYPERLINK("https://www.cadth.ca/node/120114", "Keytruda")</f>
        <v>Keytruda</v>
      </c>
      <c r="B390" t="s">
        <v>1291</v>
      </c>
      <c r="C390" t="s">
        <v>1293</v>
      </c>
      <c r="D390" t="s">
        <v>55</v>
      </c>
      <c r="E390" t="s">
        <v>40</v>
      </c>
      <c r="F390" s="3">
        <v>43952</v>
      </c>
      <c r="G390" s="3">
        <v>44187</v>
      </c>
      <c r="H390" t="s">
        <v>1294</v>
      </c>
      <c r="I390" t="s">
        <v>33</v>
      </c>
      <c r="J390" t="s">
        <v>326</v>
      </c>
      <c r="K390" t="s">
        <v>1295</v>
      </c>
      <c r="L390" t="s">
        <v>1296</v>
      </c>
      <c r="M390" t="s">
        <v>60</v>
      </c>
      <c r="N390" s="3">
        <v>44113</v>
      </c>
      <c r="O390" t="s">
        <v>1297</v>
      </c>
      <c r="P390" t="s">
        <v>1297</v>
      </c>
      <c r="Q390" s="3"/>
      <c r="R390" s="3"/>
      <c r="S390" s="3">
        <v>43993</v>
      </c>
      <c r="V390" s="3">
        <v>43966</v>
      </c>
      <c r="W390" s="3">
        <v>44054</v>
      </c>
      <c r="X390" s="3">
        <v>44154</v>
      </c>
      <c r="Y390" s="3">
        <v>44168</v>
      </c>
      <c r="Z390" s="3">
        <v>44182</v>
      </c>
      <c r="AA390" s="3"/>
      <c r="AB390" s="3">
        <v>44210</v>
      </c>
    </row>
    <row r="391" spans="1:29" x14ac:dyDescent="0.3">
      <c r="A391" s="2" t="str">
        <f>HYPERLINK("https://www.cadth.ca/node/119643", "Keytruda")</f>
        <v>Keytruda</v>
      </c>
      <c r="B391" t="s">
        <v>1291</v>
      </c>
      <c r="F391" s="3"/>
      <c r="G391" s="3"/>
      <c r="I391" t="s">
        <v>33</v>
      </c>
      <c r="K391" t="s">
        <v>58</v>
      </c>
      <c r="N391" s="3"/>
      <c r="O391" t="s">
        <v>289</v>
      </c>
      <c r="Q391" s="3"/>
      <c r="R391" s="3"/>
      <c r="S391" s="3"/>
      <c r="V391" s="3"/>
      <c r="W391" s="3"/>
      <c r="X391" s="3"/>
      <c r="Y391" s="3"/>
      <c r="Z391" s="3"/>
      <c r="AA391" s="3"/>
      <c r="AB391" s="3"/>
      <c r="AC391" t="s">
        <v>1292</v>
      </c>
    </row>
    <row r="392" spans="1:29" x14ac:dyDescent="0.3">
      <c r="A392" s="2" t="str">
        <f>HYPERLINK("https://www.cadth.ca/pembrolizumab-0", "Keytruda")</f>
        <v>Keytruda</v>
      </c>
      <c r="B392" t="s">
        <v>1298</v>
      </c>
      <c r="C392" t="s">
        <v>1299</v>
      </c>
      <c r="E392" t="s">
        <v>31</v>
      </c>
      <c r="F392" s="3">
        <v>44225</v>
      </c>
      <c r="G392" s="3"/>
      <c r="H392" t="s">
        <v>1300</v>
      </c>
      <c r="I392" t="s">
        <v>33</v>
      </c>
      <c r="K392" t="s">
        <v>96</v>
      </c>
      <c r="N392" s="3"/>
      <c r="O392" t="s">
        <v>1297</v>
      </c>
      <c r="Q392" s="3"/>
      <c r="R392" s="3"/>
      <c r="S392" s="3"/>
      <c r="T392" t="s">
        <v>36</v>
      </c>
      <c r="V392" s="3"/>
      <c r="W392" s="3"/>
      <c r="X392" s="3"/>
      <c r="Y392" s="3"/>
      <c r="Z392" s="3"/>
      <c r="AA392" s="3"/>
      <c r="AB392" s="3"/>
    </row>
    <row r="393" spans="1:29" x14ac:dyDescent="0.3">
      <c r="A393" s="2" t="str">
        <f>HYPERLINK("https://www.cadth.ca/node/94000", "Keytruda")</f>
        <v>Keytruda</v>
      </c>
      <c r="B393" t="s">
        <v>1291</v>
      </c>
      <c r="C393" t="s">
        <v>207</v>
      </c>
      <c r="D393" t="s">
        <v>55</v>
      </c>
      <c r="E393" t="s">
        <v>40</v>
      </c>
      <c r="F393" s="3">
        <v>42481</v>
      </c>
      <c r="G393" s="3">
        <v>42677</v>
      </c>
      <c r="H393" t="s">
        <v>1301</v>
      </c>
      <c r="I393" t="s">
        <v>33</v>
      </c>
      <c r="J393" t="s">
        <v>1302</v>
      </c>
      <c r="K393" t="s">
        <v>205</v>
      </c>
      <c r="L393" t="s">
        <v>1303</v>
      </c>
      <c r="N393" s="3">
        <v>42475</v>
      </c>
      <c r="O393" t="s">
        <v>289</v>
      </c>
      <c r="P393" t="s">
        <v>289</v>
      </c>
      <c r="Q393" s="3"/>
      <c r="R393" s="3"/>
      <c r="S393" s="3">
        <v>42488</v>
      </c>
      <c r="U393" t="s">
        <v>99</v>
      </c>
      <c r="V393" s="3">
        <v>42495</v>
      </c>
      <c r="W393" s="3">
        <v>42530</v>
      </c>
      <c r="X393" s="3">
        <v>42600</v>
      </c>
      <c r="Y393" s="3">
        <v>42614</v>
      </c>
      <c r="Z393" s="3">
        <v>42629</v>
      </c>
      <c r="AA393" s="3"/>
      <c r="AB393" s="3">
        <v>42692</v>
      </c>
    </row>
    <row r="394" spans="1:29" x14ac:dyDescent="0.3">
      <c r="A394" s="2" t="str">
        <f>HYPERLINK("https://www.cadth.ca/pembrolizumab-1", "Keytruda")</f>
        <v>Keytruda</v>
      </c>
      <c r="B394" t="s">
        <v>1298</v>
      </c>
      <c r="C394" t="s">
        <v>1304</v>
      </c>
      <c r="E394" t="s">
        <v>31</v>
      </c>
      <c r="F394" s="3">
        <v>44342</v>
      </c>
      <c r="G394" s="3"/>
      <c r="H394" t="s">
        <v>1305</v>
      </c>
      <c r="I394" t="s">
        <v>33</v>
      </c>
      <c r="K394" t="s">
        <v>1295</v>
      </c>
      <c r="N394" s="3"/>
      <c r="O394" t="s">
        <v>1297</v>
      </c>
      <c r="Q394" s="3"/>
      <c r="R394" s="3"/>
      <c r="S394" s="3"/>
      <c r="T394" t="s">
        <v>36</v>
      </c>
      <c r="V394" s="3"/>
      <c r="W394" s="3"/>
      <c r="X394" s="3"/>
      <c r="Y394" s="3"/>
      <c r="Z394" s="3"/>
      <c r="AA394" s="3"/>
      <c r="AB394" s="3"/>
    </row>
    <row r="395" spans="1:29" x14ac:dyDescent="0.3">
      <c r="A395" s="2" t="str">
        <f>HYPERLINK("https://www.cadth.ca/node/98499", "Keytruda")</f>
        <v>Keytruda</v>
      </c>
      <c r="B395" t="s">
        <v>1291</v>
      </c>
      <c r="C395" t="s">
        <v>1306</v>
      </c>
      <c r="D395" t="s">
        <v>55</v>
      </c>
      <c r="E395" t="s">
        <v>40</v>
      </c>
      <c r="F395" s="3">
        <v>42716</v>
      </c>
      <c r="G395" s="3">
        <v>42970</v>
      </c>
      <c r="H395" t="s">
        <v>1307</v>
      </c>
      <c r="I395" t="s">
        <v>33</v>
      </c>
      <c r="J395" t="s">
        <v>1302</v>
      </c>
      <c r="K395" t="s">
        <v>205</v>
      </c>
      <c r="L395" t="s">
        <v>1308</v>
      </c>
      <c r="M395" t="s">
        <v>60</v>
      </c>
      <c r="N395" s="3">
        <v>42928</v>
      </c>
      <c r="O395" t="s">
        <v>289</v>
      </c>
      <c r="P395" t="s">
        <v>289</v>
      </c>
      <c r="Q395" s="3"/>
      <c r="R395" s="3"/>
      <c r="S395" s="3">
        <v>42723</v>
      </c>
      <c r="U395" t="s">
        <v>214</v>
      </c>
      <c r="V395" s="3">
        <v>42738</v>
      </c>
      <c r="W395" s="3">
        <v>42781</v>
      </c>
      <c r="X395" s="3">
        <v>42936</v>
      </c>
      <c r="Y395" s="3">
        <v>42950</v>
      </c>
      <c r="Z395" s="3">
        <v>42965</v>
      </c>
      <c r="AA395" s="3"/>
      <c r="AB395" s="3">
        <v>42986</v>
      </c>
      <c r="AC395" t="s">
        <v>1309</v>
      </c>
    </row>
    <row r="396" spans="1:29" x14ac:dyDescent="0.3">
      <c r="A396" s="2" t="str">
        <f>HYPERLINK("https://www.cadth.ca/node/103227", "Keytruda")</f>
        <v>Keytruda</v>
      </c>
      <c r="B396" t="s">
        <v>1291</v>
      </c>
      <c r="C396" t="s">
        <v>1310</v>
      </c>
      <c r="D396" t="s">
        <v>55</v>
      </c>
      <c r="E396" t="s">
        <v>40</v>
      </c>
      <c r="F396" s="3">
        <v>42940</v>
      </c>
      <c r="G396" s="3">
        <v>43161</v>
      </c>
      <c r="H396" t="s">
        <v>1311</v>
      </c>
      <c r="I396" t="s">
        <v>33</v>
      </c>
      <c r="J396" t="s">
        <v>103</v>
      </c>
      <c r="K396" t="s">
        <v>367</v>
      </c>
      <c r="L396" t="s">
        <v>1312</v>
      </c>
      <c r="M396" t="s">
        <v>60</v>
      </c>
      <c r="N396" s="3">
        <v>42998</v>
      </c>
      <c r="O396" t="s">
        <v>289</v>
      </c>
      <c r="P396" t="s">
        <v>289</v>
      </c>
      <c r="Q396" s="3"/>
      <c r="R396" s="3"/>
      <c r="S396" s="3">
        <v>42947</v>
      </c>
      <c r="U396" t="s">
        <v>99</v>
      </c>
      <c r="V396" s="3">
        <v>42955</v>
      </c>
      <c r="W396" s="3">
        <v>42997</v>
      </c>
      <c r="X396" s="3">
        <v>43083</v>
      </c>
      <c r="Y396" s="3">
        <v>43105</v>
      </c>
      <c r="Z396" s="3">
        <v>43119</v>
      </c>
      <c r="AA396" s="3"/>
      <c r="AB396" s="3">
        <v>43178</v>
      </c>
    </row>
    <row r="397" spans="1:29" x14ac:dyDescent="0.3">
      <c r="A397" s="2" t="str">
        <f>HYPERLINK("https://www.cadth.ca/node/88557", "Keytruda")</f>
        <v>Keytruda</v>
      </c>
      <c r="B397" t="s">
        <v>1291</v>
      </c>
      <c r="C397" t="s">
        <v>1313</v>
      </c>
      <c r="D397" t="s">
        <v>55</v>
      </c>
      <c r="E397" t="s">
        <v>40</v>
      </c>
      <c r="F397" s="3">
        <v>42110</v>
      </c>
      <c r="G397" s="3">
        <v>42324</v>
      </c>
      <c r="H397" t="s">
        <v>1314</v>
      </c>
      <c r="I397" t="s">
        <v>33</v>
      </c>
      <c r="J397" t="s">
        <v>1302</v>
      </c>
      <c r="K397" t="s">
        <v>616</v>
      </c>
      <c r="L397" t="s">
        <v>1315</v>
      </c>
      <c r="M397" t="s">
        <v>60</v>
      </c>
      <c r="N397" s="3">
        <v>42143</v>
      </c>
      <c r="O397" t="s">
        <v>289</v>
      </c>
      <c r="P397" t="s">
        <v>289</v>
      </c>
      <c r="Q397" s="3"/>
      <c r="R397" s="3"/>
      <c r="S397" s="3">
        <v>42125</v>
      </c>
      <c r="U397" t="s">
        <v>99</v>
      </c>
      <c r="V397" s="3">
        <v>42124</v>
      </c>
      <c r="W397" s="3">
        <v>42170</v>
      </c>
      <c r="X397" s="3">
        <v>42292</v>
      </c>
      <c r="Y397" s="3">
        <v>42306</v>
      </c>
      <c r="Z397" s="3">
        <v>42320</v>
      </c>
      <c r="AA397" s="3"/>
      <c r="AB397" s="3">
        <v>42339</v>
      </c>
      <c r="AC397" t="s">
        <v>1316</v>
      </c>
    </row>
    <row r="398" spans="1:29" x14ac:dyDescent="0.3">
      <c r="A398" s="2" t="str">
        <f>HYPERLINK("https://www.cadth.ca/node/110421", "Keytruda")</f>
        <v>Keytruda</v>
      </c>
      <c r="B398" t="s">
        <v>1291</v>
      </c>
      <c r="C398" t="s">
        <v>1317</v>
      </c>
      <c r="D398" t="s">
        <v>55</v>
      </c>
      <c r="E398" t="s">
        <v>40</v>
      </c>
      <c r="F398" s="3">
        <v>43357</v>
      </c>
      <c r="G398" s="3">
        <v>43616</v>
      </c>
      <c r="H398" t="s">
        <v>1318</v>
      </c>
      <c r="I398" t="s">
        <v>33</v>
      </c>
      <c r="J398" t="s">
        <v>1319</v>
      </c>
      <c r="K398" t="s">
        <v>205</v>
      </c>
      <c r="L398" t="s">
        <v>1320</v>
      </c>
      <c r="M398" t="s">
        <v>60</v>
      </c>
      <c r="N398" s="3">
        <v>43537</v>
      </c>
      <c r="O398" t="s">
        <v>1297</v>
      </c>
      <c r="P398" t="s">
        <v>1297</v>
      </c>
      <c r="Q398" s="3"/>
      <c r="R398" s="3"/>
      <c r="S398" s="3">
        <v>43371</v>
      </c>
      <c r="V398" s="3">
        <v>43371</v>
      </c>
      <c r="W398" s="3">
        <v>43445</v>
      </c>
      <c r="X398" s="3">
        <v>43545</v>
      </c>
      <c r="Y398" s="3">
        <v>43559</v>
      </c>
      <c r="Z398" s="3">
        <v>43573</v>
      </c>
      <c r="AA398" s="3"/>
      <c r="AB398" s="3">
        <v>43633</v>
      </c>
    </row>
    <row r="399" spans="1:29" x14ac:dyDescent="0.3">
      <c r="A399" s="2" t="str">
        <f>HYPERLINK("https://www.cadth.ca/node/111994", "Keytruda")</f>
        <v>Keytruda</v>
      </c>
      <c r="B399" t="s">
        <v>1291</v>
      </c>
      <c r="C399" t="s">
        <v>1321</v>
      </c>
      <c r="D399" t="s">
        <v>55</v>
      </c>
      <c r="E399" t="s">
        <v>40</v>
      </c>
      <c r="F399" s="3">
        <v>43447</v>
      </c>
      <c r="G399" s="3">
        <v>43678</v>
      </c>
      <c r="H399" t="s">
        <v>1322</v>
      </c>
      <c r="I399" t="s">
        <v>33</v>
      </c>
      <c r="J399" t="s">
        <v>1323</v>
      </c>
      <c r="K399" t="s">
        <v>362</v>
      </c>
      <c r="L399" t="s">
        <v>1324</v>
      </c>
      <c r="M399" t="s">
        <v>60</v>
      </c>
      <c r="N399" s="3">
        <v>43557</v>
      </c>
      <c r="O399" t="s">
        <v>1297</v>
      </c>
      <c r="P399" t="s">
        <v>1297</v>
      </c>
      <c r="Q399" s="3"/>
      <c r="R399" s="3"/>
      <c r="S399" s="3">
        <v>43480</v>
      </c>
      <c r="V399" s="3">
        <v>43469</v>
      </c>
      <c r="W399" s="3">
        <v>43522</v>
      </c>
      <c r="X399" s="3">
        <v>43601</v>
      </c>
      <c r="Y399" s="3">
        <v>43616</v>
      </c>
      <c r="Z399" s="3">
        <v>43630</v>
      </c>
      <c r="AA399" s="3"/>
      <c r="AB399" s="3">
        <v>43696</v>
      </c>
    </row>
    <row r="400" spans="1:29" x14ac:dyDescent="0.3">
      <c r="A400" s="2" t="str">
        <f>HYPERLINK("https://www.cadth.ca/pembrolizumab", "Keytruda")</f>
        <v>Keytruda</v>
      </c>
      <c r="B400" t="s">
        <v>1298</v>
      </c>
      <c r="C400" t="s">
        <v>1325</v>
      </c>
      <c r="D400" t="s">
        <v>55</v>
      </c>
      <c r="E400" t="s">
        <v>40</v>
      </c>
      <c r="F400" s="3">
        <v>44165</v>
      </c>
      <c r="G400" s="3"/>
      <c r="H400" t="s">
        <v>1326</v>
      </c>
      <c r="I400" t="s">
        <v>33</v>
      </c>
      <c r="N400" s="3"/>
      <c r="O400" t="s">
        <v>289</v>
      </c>
      <c r="Q400" s="3"/>
      <c r="R400" s="3"/>
      <c r="S400" s="3"/>
      <c r="T400" t="s">
        <v>36</v>
      </c>
      <c r="V400" s="3"/>
      <c r="W400" s="3"/>
      <c r="X400" s="3"/>
      <c r="Y400" s="3"/>
      <c r="Z400" s="3"/>
      <c r="AA400" s="3"/>
      <c r="AB400" s="3"/>
    </row>
    <row r="401" spans="1:29" x14ac:dyDescent="0.3">
      <c r="A401" s="2" t="str">
        <f>HYPERLINK("https://www.cadth.ca/node/102576", "Keytruda")</f>
        <v>Keytruda</v>
      </c>
      <c r="B401" t="s">
        <v>1291</v>
      </c>
      <c r="C401" t="s">
        <v>1327</v>
      </c>
      <c r="D401" t="s">
        <v>55</v>
      </c>
      <c r="E401" t="s">
        <v>40</v>
      </c>
      <c r="F401" s="3">
        <v>42923</v>
      </c>
      <c r="G401" s="3">
        <v>43105</v>
      </c>
      <c r="H401" t="s">
        <v>1328</v>
      </c>
      <c r="I401" t="s">
        <v>33</v>
      </c>
      <c r="J401" t="s">
        <v>103</v>
      </c>
      <c r="K401" t="s">
        <v>96</v>
      </c>
      <c r="L401" t="s">
        <v>1329</v>
      </c>
      <c r="M401" t="s">
        <v>60</v>
      </c>
      <c r="N401" s="3"/>
      <c r="O401" t="s">
        <v>289</v>
      </c>
      <c r="P401" t="s">
        <v>289</v>
      </c>
      <c r="Q401" s="3"/>
      <c r="R401" s="3"/>
      <c r="S401" s="3">
        <v>42930</v>
      </c>
      <c r="U401" t="s">
        <v>99</v>
      </c>
      <c r="V401" s="3">
        <v>42937</v>
      </c>
      <c r="W401" s="3">
        <v>42984</v>
      </c>
      <c r="X401" s="3">
        <v>43027</v>
      </c>
      <c r="Y401" s="3">
        <v>43041</v>
      </c>
      <c r="Z401" s="3">
        <v>43055</v>
      </c>
      <c r="AA401" s="3"/>
      <c r="AB401" s="3">
        <v>43122</v>
      </c>
    </row>
    <row r="402" spans="1:29" x14ac:dyDescent="0.3">
      <c r="A402" s="2" t="str">
        <f>HYPERLINK("https://www.cadth.ca/node/102576", "Keytruda")</f>
        <v>Keytruda</v>
      </c>
      <c r="B402" t="s">
        <v>1291</v>
      </c>
      <c r="C402" t="s">
        <v>1327</v>
      </c>
      <c r="D402" t="s">
        <v>55</v>
      </c>
      <c r="E402" t="s">
        <v>40</v>
      </c>
      <c r="F402" s="3">
        <v>42923</v>
      </c>
      <c r="G402" s="3">
        <v>43105</v>
      </c>
      <c r="H402" t="s">
        <v>1328</v>
      </c>
      <c r="I402" t="s">
        <v>33</v>
      </c>
      <c r="J402" t="s">
        <v>103</v>
      </c>
      <c r="K402" t="s">
        <v>96</v>
      </c>
      <c r="L402" t="s">
        <v>1329</v>
      </c>
      <c r="M402" t="s">
        <v>60</v>
      </c>
      <c r="N402" s="3"/>
      <c r="O402" t="s">
        <v>289</v>
      </c>
      <c r="P402" t="s">
        <v>289</v>
      </c>
      <c r="Q402" s="3"/>
      <c r="R402" s="3"/>
      <c r="S402" s="3">
        <v>42930</v>
      </c>
      <c r="U402" t="s">
        <v>99</v>
      </c>
      <c r="V402" s="3">
        <v>42937</v>
      </c>
      <c r="W402" s="3">
        <v>42984</v>
      </c>
      <c r="X402" s="3">
        <v>43027</v>
      </c>
      <c r="Y402" s="3">
        <v>43041</v>
      </c>
      <c r="Z402" s="3">
        <v>43055</v>
      </c>
      <c r="AA402" s="3"/>
      <c r="AB402" s="3">
        <v>43122</v>
      </c>
    </row>
    <row r="403" spans="1:29" x14ac:dyDescent="0.3">
      <c r="A403" s="2" t="str">
        <f>HYPERLINK("https://www.cadth.ca/node/113050", "Keytruda")</f>
        <v>Keytruda</v>
      </c>
      <c r="B403" t="s">
        <v>1291</v>
      </c>
      <c r="C403" t="s">
        <v>1330</v>
      </c>
      <c r="D403" t="s">
        <v>55</v>
      </c>
      <c r="E403" t="s">
        <v>40</v>
      </c>
      <c r="F403" s="3">
        <v>43504</v>
      </c>
      <c r="G403" s="3">
        <v>43833</v>
      </c>
      <c r="H403" t="s">
        <v>1331</v>
      </c>
      <c r="I403" t="s">
        <v>33</v>
      </c>
      <c r="J403" t="s">
        <v>1332</v>
      </c>
      <c r="K403" t="s">
        <v>205</v>
      </c>
      <c r="L403" t="s">
        <v>1333</v>
      </c>
      <c r="M403" t="s">
        <v>60</v>
      </c>
      <c r="N403" s="3">
        <v>43650</v>
      </c>
      <c r="O403" t="s">
        <v>1297</v>
      </c>
      <c r="P403" t="s">
        <v>1297</v>
      </c>
      <c r="Q403" s="3"/>
      <c r="R403" s="3"/>
      <c r="S403" s="3">
        <v>43521</v>
      </c>
      <c r="V403" s="3">
        <v>43521</v>
      </c>
      <c r="W403" s="3">
        <v>43606</v>
      </c>
      <c r="X403" s="3">
        <v>43755</v>
      </c>
      <c r="Y403" s="3">
        <v>43769</v>
      </c>
      <c r="Z403" s="3">
        <v>43783</v>
      </c>
      <c r="AA403" s="3"/>
      <c r="AB403" s="3">
        <v>43850</v>
      </c>
      <c r="AC403" t="s">
        <v>1334</v>
      </c>
    </row>
    <row r="404" spans="1:29" x14ac:dyDescent="0.3">
      <c r="A404" s="2" t="str">
        <f>HYPERLINK("https://www.cadth.ca/node/113189", "Keytruda")</f>
        <v>Keytruda</v>
      </c>
      <c r="B404" t="s">
        <v>1291</v>
      </c>
      <c r="C404" t="s">
        <v>1335</v>
      </c>
      <c r="D404" t="s">
        <v>127</v>
      </c>
      <c r="E404" t="s">
        <v>40</v>
      </c>
      <c r="F404" s="3">
        <v>43516</v>
      </c>
      <c r="G404" s="3">
        <v>43741</v>
      </c>
      <c r="H404" t="s">
        <v>1336</v>
      </c>
      <c r="I404" t="s">
        <v>33</v>
      </c>
      <c r="J404" t="s">
        <v>326</v>
      </c>
      <c r="K404" t="s">
        <v>367</v>
      </c>
      <c r="L404" t="s">
        <v>1337</v>
      </c>
      <c r="M404" t="s">
        <v>60</v>
      </c>
      <c r="N404" s="3">
        <v>43566</v>
      </c>
      <c r="O404" t="s">
        <v>1297</v>
      </c>
      <c r="P404" t="s">
        <v>1297</v>
      </c>
      <c r="Q404" s="3"/>
      <c r="R404" s="3"/>
      <c r="S404" s="3"/>
      <c r="V404" s="3">
        <v>43530</v>
      </c>
      <c r="W404" s="3">
        <v>43578</v>
      </c>
      <c r="X404" s="3">
        <v>43664</v>
      </c>
      <c r="Y404" s="3">
        <v>43678</v>
      </c>
      <c r="Z404" s="3">
        <v>43693</v>
      </c>
      <c r="AA404" s="3"/>
      <c r="AB404" s="3">
        <v>43759</v>
      </c>
    </row>
    <row r="405" spans="1:29" x14ac:dyDescent="0.3">
      <c r="A405" s="2" t="str">
        <f>HYPERLINK("https://www.cadth.ca/anakinra", "Kineret")</f>
        <v>Kineret</v>
      </c>
      <c r="B405" t="s">
        <v>1338</v>
      </c>
      <c r="C405" t="s">
        <v>1339</v>
      </c>
      <c r="E405" t="s">
        <v>1340</v>
      </c>
      <c r="F405" s="3">
        <v>44186</v>
      </c>
      <c r="G405" s="3"/>
      <c r="H405" t="s">
        <v>1341</v>
      </c>
      <c r="I405" t="s">
        <v>33</v>
      </c>
      <c r="N405" s="3"/>
      <c r="O405" t="s">
        <v>1342</v>
      </c>
      <c r="Q405" s="3"/>
      <c r="R405" s="3"/>
      <c r="S405" s="3"/>
      <c r="T405" t="s">
        <v>36</v>
      </c>
      <c r="V405" s="3"/>
      <c r="W405" s="3"/>
      <c r="X405" s="3"/>
      <c r="Y405" s="3"/>
      <c r="Z405" s="3"/>
      <c r="AA405" s="3"/>
      <c r="AB405" s="3"/>
    </row>
    <row r="406" spans="1:29" x14ac:dyDescent="0.3">
      <c r="A406" s="2" t="str">
        <f>HYPERLINK("https://www.cadth.ca/node/105296", "Kisqali")</f>
        <v>Kisqali</v>
      </c>
      <c r="B406" t="s">
        <v>1343</v>
      </c>
      <c r="C406" t="s">
        <v>1266</v>
      </c>
      <c r="D406" t="s">
        <v>55</v>
      </c>
      <c r="E406" t="s">
        <v>40</v>
      </c>
      <c r="F406" s="3">
        <v>43025</v>
      </c>
      <c r="G406" s="3">
        <v>43208</v>
      </c>
      <c r="H406" t="s">
        <v>1344</v>
      </c>
      <c r="I406" t="s">
        <v>33</v>
      </c>
      <c r="J406" t="s">
        <v>1345</v>
      </c>
      <c r="K406" t="s">
        <v>177</v>
      </c>
      <c r="L406" t="s">
        <v>1346</v>
      </c>
      <c r="M406" t="s">
        <v>60</v>
      </c>
      <c r="N406" s="3">
        <v>43161</v>
      </c>
      <c r="O406" t="s">
        <v>71</v>
      </c>
      <c r="P406" t="s">
        <v>71</v>
      </c>
      <c r="Q406" s="3"/>
      <c r="R406" s="3"/>
      <c r="S406" s="3">
        <v>43040</v>
      </c>
      <c r="U406" t="s">
        <v>62</v>
      </c>
      <c r="V406" s="3">
        <v>43039</v>
      </c>
      <c r="W406" s="3">
        <v>43081</v>
      </c>
      <c r="X406" s="3">
        <v>43174</v>
      </c>
      <c r="Y406" s="3">
        <v>43188</v>
      </c>
      <c r="Z406" s="3">
        <v>43203</v>
      </c>
      <c r="AA406" s="3"/>
      <c r="AB406" s="3">
        <v>43223</v>
      </c>
    </row>
    <row r="407" spans="1:29" x14ac:dyDescent="0.3">
      <c r="A407" s="2" t="str">
        <f>HYPERLINK("https://www.cadth.ca/node/116599", "Kisqali")</f>
        <v>Kisqali</v>
      </c>
      <c r="B407" t="s">
        <v>1343</v>
      </c>
      <c r="C407" t="s">
        <v>1347</v>
      </c>
      <c r="D407" t="s">
        <v>55</v>
      </c>
      <c r="E407" t="s">
        <v>40</v>
      </c>
      <c r="F407" s="3">
        <v>43703</v>
      </c>
      <c r="G407" s="3">
        <v>43986</v>
      </c>
      <c r="H407" t="s">
        <v>1348</v>
      </c>
      <c r="I407" t="s">
        <v>33</v>
      </c>
      <c r="J407" t="s">
        <v>1349</v>
      </c>
      <c r="K407" t="s">
        <v>177</v>
      </c>
      <c r="L407" t="s">
        <v>1350</v>
      </c>
      <c r="M407" t="s">
        <v>60</v>
      </c>
      <c r="N407" s="3">
        <v>43868</v>
      </c>
      <c r="O407" t="s">
        <v>71</v>
      </c>
      <c r="P407" t="s">
        <v>71</v>
      </c>
      <c r="Q407" s="3"/>
      <c r="R407" s="3"/>
      <c r="S407" s="3">
        <v>43718</v>
      </c>
      <c r="V407" s="3">
        <v>43718</v>
      </c>
      <c r="W407" s="3">
        <v>43787</v>
      </c>
      <c r="X407" s="3">
        <v>43909</v>
      </c>
      <c r="Y407" s="3">
        <v>43923</v>
      </c>
      <c r="Z407" s="3">
        <v>43938</v>
      </c>
      <c r="AA407" s="3"/>
      <c r="AB407" s="3">
        <v>44001</v>
      </c>
    </row>
    <row r="408" spans="1:29" x14ac:dyDescent="0.3">
      <c r="A408" s="2" t="str">
        <f>HYPERLINK("https://www.cadth.ca/node/116600", "Kisqali")</f>
        <v>Kisqali</v>
      </c>
      <c r="B408" t="s">
        <v>1351</v>
      </c>
      <c r="C408" t="s">
        <v>1352</v>
      </c>
      <c r="D408" t="s">
        <v>55</v>
      </c>
      <c r="E408" t="s">
        <v>40</v>
      </c>
      <c r="F408" s="3">
        <v>43703</v>
      </c>
      <c r="G408" s="3">
        <v>43943</v>
      </c>
      <c r="H408" t="s">
        <v>1353</v>
      </c>
      <c r="I408" t="s">
        <v>33</v>
      </c>
      <c r="J408" t="s">
        <v>1345</v>
      </c>
      <c r="K408" t="s">
        <v>177</v>
      </c>
      <c r="L408" t="s">
        <v>1354</v>
      </c>
      <c r="M408" t="s">
        <v>60</v>
      </c>
      <c r="N408" s="3">
        <v>43868</v>
      </c>
      <c r="O408" t="s">
        <v>71</v>
      </c>
      <c r="P408" t="s">
        <v>71</v>
      </c>
      <c r="Q408" s="3"/>
      <c r="R408" s="3"/>
      <c r="S408" s="3">
        <v>43718</v>
      </c>
      <c r="V408" s="3">
        <v>43718</v>
      </c>
      <c r="W408" s="3">
        <v>43787</v>
      </c>
      <c r="X408" s="3">
        <v>43909</v>
      </c>
      <c r="Y408" s="3">
        <v>43923</v>
      </c>
      <c r="Z408" s="3">
        <v>43938</v>
      </c>
      <c r="AA408" s="3"/>
      <c r="AB408" s="3">
        <v>43958</v>
      </c>
    </row>
    <row r="409" spans="1:29" x14ac:dyDescent="0.3">
      <c r="A409" s="2" t="str">
        <f>HYPERLINK("https://www.cadth.ca/abacavirlamivudine", "Kivexa")</f>
        <v>Kivexa</v>
      </c>
      <c r="B409" t="s">
        <v>1355</v>
      </c>
      <c r="C409" t="s">
        <v>273</v>
      </c>
      <c r="D409" t="s">
        <v>262</v>
      </c>
      <c r="E409" t="s">
        <v>40</v>
      </c>
      <c r="F409" s="3">
        <v>38559</v>
      </c>
      <c r="G409" s="3">
        <v>38693</v>
      </c>
      <c r="H409" t="s">
        <v>1356</v>
      </c>
      <c r="I409" t="s">
        <v>33</v>
      </c>
      <c r="N409" s="3"/>
      <c r="O409" t="s">
        <v>455</v>
      </c>
      <c r="Q409" s="3"/>
      <c r="R409" s="3"/>
      <c r="S409" s="3"/>
      <c r="T409" t="s">
        <v>36</v>
      </c>
      <c r="V409" s="3"/>
      <c r="W409" s="3"/>
      <c r="X409" s="3"/>
      <c r="Y409" s="3"/>
      <c r="Z409" s="3"/>
      <c r="AA409" s="3"/>
      <c r="AB409" s="3"/>
    </row>
    <row r="410" spans="1:29" x14ac:dyDescent="0.3">
      <c r="A410" s="2" t="str">
        <f>HYPERLINK("https://www.cadth.ca/saxagliptin-metformin-0", "Komboglyze")</f>
        <v>Komboglyze</v>
      </c>
      <c r="B410" t="s">
        <v>1357</v>
      </c>
      <c r="C410" t="s">
        <v>1358</v>
      </c>
      <c r="D410" t="s">
        <v>50</v>
      </c>
      <c r="E410" t="s">
        <v>40</v>
      </c>
      <c r="F410" s="3">
        <v>41509</v>
      </c>
      <c r="G410" s="3">
        <v>41810</v>
      </c>
      <c r="H410" t="s">
        <v>1359</v>
      </c>
      <c r="I410" t="s">
        <v>33</v>
      </c>
      <c r="N410" s="3"/>
      <c r="O410" t="s">
        <v>465</v>
      </c>
      <c r="Q410" s="3"/>
      <c r="R410" s="3"/>
      <c r="S410" s="3"/>
      <c r="T410" t="s">
        <v>36</v>
      </c>
      <c r="V410" s="3"/>
      <c r="W410" s="3"/>
      <c r="X410" s="3"/>
      <c r="Y410" s="3"/>
      <c r="Z410" s="3"/>
      <c r="AA410" s="3"/>
      <c r="AB410" s="3"/>
    </row>
    <row r="411" spans="1:29" x14ac:dyDescent="0.3">
      <c r="A411" s="2" t="str">
        <f>HYPERLINK("https://www.cadth.ca/saxagliptin-metformin", "Komboglyze")</f>
        <v>Komboglyze</v>
      </c>
      <c r="B411" t="s">
        <v>1357</v>
      </c>
      <c r="C411" t="s">
        <v>1192</v>
      </c>
      <c r="E411" t="s">
        <v>113</v>
      </c>
      <c r="F411" s="3">
        <v>41431</v>
      </c>
      <c r="G411" s="3"/>
      <c r="H411" t="s">
        <v>1360</v>
      </c>
      <c r="I411" t="s">
        <v>33</v>
      </c>
      <c r="N411" s="3"/>
      <c r="O411" t="s">
        <v>1361</v>
      </c>
      <c r="Q411" s="3"/>
      <c r="R411" s="3"/>
      <c r="S411" s="3"/>
      <c r="T411" t="s">
        <v>36</v>
      </c>
      <c r="V411" s="3"/>
      <c r="W411" s="3"/>
      <c r="X411" s="3"/>
      <c r="Y411" s="3"/>
      <c r="Z411" s="3"/>
      <c r="AA411" s="3"/>
      <c r="AB411" s="3"/>
    </row>
    <row r="412" spans="1:29" x14ac:dyDescent="0.3">
      <c r="A412" s="2" t="str">
        <f>HYPERLINK("https://www.cadth.ca/sapropterin-dihydrochloride-1", "Kuvan")</f>
        <v>Kuvan</v>
      </c>
      <c r="B412" t="s">
        <v>1362</v>
      </c>
      <c r="C412" t="s">
        <v>1363</v>
      </c>
      <c r="D412" t="s">
        <v>55</v>
      </c>
      <c r="E412" t="s">
        <v>40</v>
      </c>
      <c r="F412" s="3">
        <v>42401</v>
      </c>
      <c r="G412" s="3">
        <v>42669</v>
      </c>
      <c r="H412" t="s">
        <v>1364</v>
      </c>
      <c r="I412" t="s">
        <v>33</v>
      </c>
      <c r="N412" s="3"/>
      <c r="O412" t="s">
        <v>1365</v>
      </c>
      <c r="Q412" s="3"/>
      <c r="R412" s="3"/>
      <c r="S412" s="3"/>
      <c r="T412" t="s">
        <v>142</v>
      </c>
      <c r="V412" s="3"/>
      <c r="W412" s="3"/>
      <c r="X412" s="3"/>
      <c r="Y412" s="3"/>
      <c r="Z412" s="3"/>
      <c r="AA412" s="3"/>
      <c r="AB412" s="3"/>
    </row>
    <row r="413" spans="1:29" x14ac:dyDescent="0.3">
      <c r="A413" s="2" t="str">
        <f>HYPERLINK("https://www.cadth.ca/sapropterin-dihydrochloride-0", "Kuvan")</f>
        <v>Kuvan</v>
      </c>
      <c r="B413" t="s">
        <v>1362</v>
      </c>
      <c r="C413" t="s">
        <v>1366</v>
      </c>
      <c r="E413" t="s">
        <v>40</v>
      </c>
      <c r="F413" s="3">
        <v>40695</v>
      </c>
      <c r="G413" s="3"/>
      <c r="H413" t="s">
        <v>1367</v>
      </c>
      <c r="I413" t="s">
        <v>33</v>
      </c>
      <c r="N413" s="3"/>
      <c r="O413" t="s">
        <v>1368</v>
      </c>
      <c r="Q413" s="3"/>
      <c r="R413" s="3"/>
      <c r="S413" s="3"/>
      <c r="T413" t="s">
        <v>49</v>
      </c>
      <c r="V413" s="3"/>
      <c r="W413" s="3"/>
      <c r="X413" s="3"/>
      <c r="Y413" s="3"/>
      <c r="Z413" s="3"/>
      <c r="AA413" s="3"/>
      <c r="AB413" s="3"/>
    </row>
    <row r="414" spans="1:29" x14ac:dyDescent="0.3">
      <c r="A414" s="2" t="str">
        <f>HYPERLINK("https://www.cadth.ca/sapropterin-dihydrochloride", "Kuvan")</f>
        <v>Kuvan</v>
      </c>
      <c r="B414" t="s">
        <v>1362</v>
      </c>
      <c r="C414" t="s">
        <v>1363</v>
      </c>
      <c r="D414" t="s">
        <v>39</v>
      </c>
      <c r="E414" t="s">
        <v>40</v>
      </c>
      <c r="F414" s="3">
        <v>40367</v>
      </c>
      <c r="G414" s="3">
        <v>40569</v>
      </c>
      <c r="H414" t="s">
        <v>1369</v>
      </c>
      <c r="I414" t="s">
        <v>33</v>
      </c>
      <c r="N414" s="3"/>
      <c r="O414" t="s">
        <v>1368</v>
      </c>
      <c r="Q414" s="3"/>
      <c r="R414" s="3"/>
      <c r="S414" s="3"/>
      <c r="T414" t="s">
        <v>36</v>
      </c>
      <c r="V414" s="3"/>
      <c r="W414" s="3"/>
      <c r="X414" s="3"/>
      <c r="Y414" s="3"/>
      <c r="Z414" s="3"/>
      <c r="AA414" s="3"/>
      <c r="AB414" s="3"/>
    </row>
    <row r="415" spans="1:29" x14ac:dyDescent="0.3">
      <c r="A415" s="2" t="str">
        <f>HYPERLINK("https://www.cadth.ca/apomorphine-hydrochloride-0", "Kynmobi")</f>
        <v>Kynmobi</v>
      </c>
      <c r="B415" t="s">
        <v>1370</v>
      </c>
      <c r="C415" t="s">
        <v>1371</v>
      </c>
      <c r="D415" t="s">
        <v>55</v>
      </c>
      <c r="E415" t="s">
        <v>40</v>
      </c>
      <c r="F415" s="3">
        <v>44007</v>
      </c>
      <c r="G415" s="3">
        <v>44251</v>
      </c>
      <c r="H415" t="s">
        <v>1372</v>
      </c>
      <c r="I415" t="s">
        <v>33</v>
      </c>
      <c r="N415" s="3"/>
      <c r="O415" t="s">
        <v>271</v>
      </c>
      <c r="Q415" s="3"/>
      <c r="R415" s="3"/>
      <c r="S415" s="3"/>
      <c r="T415" t="s">
        <v>36</v>
      </c>
      <c r="V415" s="3"/>
      <c r="W415" s="3"/>
      <c r="X415" s="3"/>
      <c r="Y415" s="3"/>
      <c r="Z415" s="3"/>
      <c r="AA415" s="3"/>
      <c r="AB415" s="3"/>
    </row>
    <row r="416" spans="1:29" x14ac:dyDescent="0.3">
      <c r="A416" s="2" t="str">
        <f>HYPERLINK("https://www.cadth.ca/apomorphine-hydrochloride", "Kynmobi")</f>
        <v>Kynmobi</v>
      </c>
      <c r="B416" t="s">
        <v>1370</v>
      </c>
      <c r="C416" t="s">
        <v>1373</v>
      </c>
      <c r="E416" t="s">
        <v>113</v>
      </c>
      <c r="F416" s="3">
        <v>43521</v>
      </c>
      <c r="G416" s="3"/>
      <c r="H416" t="s">
        <v>1374</v>
      </c>
      <c r="I416" t="s">
        <v>33</v>
      </c>
      <c r="N416" s="3"/>
      <c r="O416" t="s">
        <v>271</v>
      </c>
      <c r="Q416" s="3"/>
      <c r="R416" s="3"/>
      <c r="S416" s="3"/>
      <c r="T416" t="s">
        <v>36</v>
      </c>
      <c r="V416" s="3"/>
      <c r="W416" s="3"/>
      <c r="X416" s="3"/>
      <c r="Y416" s="3"/>
      <c r="Z416" s="3"/>
      <c r="AA416" s="3"/>
      <c r="AB416" s="3"/>
    </row>
    <row r="417" spans="1:29" x14ac:dyDescent="0.3">
      <c r="A417" s="2" t="str">
        <f>HYPERLINK("https://www.cadth.ca/node/96370", "Kyprolis")</f>
        <v>Kyprolis</v>
      </c>
      <c r="B417" t="s">
        <v>1375</v>
      </c>
      <c r="C417" t="s">
        <v>1376</v>
      </c>
      <c r="D417" t="s">
        <v>55</v>
      </c>
      <c r="E417" t="s">
        <v>40</v>
      </c>
      <c r="F417" s="3">
        <v>42622</v>
      </c>
      <c r="G417" s="3">
        <v>42824</v>
      </c>
      <c r="H417" t="s">
        <v>1377</v>
      </c>
      <c r="I417" t="s">
        <v>33</v>
      </c>
      <c r="J417" t="s">
        <v>1378</v>
      </c>
      <c r="K417" t="s">
        <v>34</v>
      </c>
      <c r="L417" t="s">
        <v>1379</v>
      </c>
      <c r="M417" t="s">
        <v>60</v>
      </c>
      <c r="N417" s="3">
        <v>42696</v>
      </c>
      <c r="O417" t="s">
        <v>407</v>
      </c>
      <c r="P417" t="s">
        <v>407</v>
      </c>
      <c r="Q417" s="3"/>
      <c r="R417" s="3"/>
      <c r="S417" s="3">
        <v>42629</v>
      </c>
      <c r="U417" t="s">
        <v>62</v>
      </c>
      <c r="V417" s="3">
        <v>42636</v>
      </c>
      <c r="W417" s="3">
        <v>42675</v>
      </c>
      <c r="X417" s="3">
        <v>42754</v>
      </c>
      <c r="Y417" s="3">
        <v>42768</v>
      </c>
      <c r="Z417" s="3">
        <v>42782</v>
      </c>
      <c r="AA417" s="3"/>
      <c r="AB417" s="3">
        <v>42842</v>
      </c>
    </row>
    <row r="418" spans="1:29" x14ac:dyDescent="0.3">
      <c r="A418" s="2" t="str">
        <f>HYPERLINK("https://www.cadth.ca/node/89579", "Kyprolis (with lenalidomide)")</f>
        <v>Kyprolis (with lenalidomide)</v>
      </c>
      <c r="B418" t="s">
        <v>1380</v>
      </c>
      <c r="C418" t="s">
        <v>663</v>
      </c>
      <c r="D418" t="s">
        <v>55</v>
      </c>
      <c r="E418" t="s">
        <v>40</v>
      </c>
      <c r="F418" s="3">
        <v>42349</v>
      </c>
      <c r="G418" s="3">
        <v>42542</v>
      </c>
      <c r="H418" t="s">
        <v>1381</v>
      </c>
      <c r="I418" t="s">
        <v>33</v>
      </c>
      <c r="J418" t="s">
        <v>1382</v>
      </c>
      <c r="K418" t="s">
        <v>34</v>
      </c>
      <c r="L418" t="s">
        <v>1383</v>
      </c>
      <c r="M418" t="s">
        <v>60</v>
      </c>
      <c r="N418" s="3">
        <v>42384</v>
      </c>
      <c r="O418" t="s">
        <v>407</v>
      </c>
      <c r="P418" t="s">
        <v>407</v>
      </c>
      <c r="Q418" s="3"/>
      <c r="R418" s="3"/>
      <c r="S418" s="3">
        <v>42382</v>
      </c>
      <c r="U418" t="s">
        <v>62</v>
      </c>
      <c r="V418" s="3">
        <v>42373</v>
      </c>
      <c r="W418" s="3">
        <v>42430</v>
      </c>
      <c r="X418" s="3">
        <v>42509</v>
      </c>
      <c r="Y418" s="3">
        <v>42524</v>
      </c>
      <c r="Z418" s="3">
        <v>42538</v>
      </c>
      <c r="AA418" s="3"/>
      <c r="AB418" s="3">
        <v>42558</v>
      </c>
      <c r="AC418" t="s">
        <v>1384</v>
      </c>
    </row>
    <row r="419" spans="1:29" x14ac:dyDescent="0.3">
      <c r="A419" s="2" t="str">
        <f>HYPERLINK("https://www.cadth.ca/ivabradine", "Lancora")</f>
        <v>Lancora</v>
      </c>
      <c r="B419" t="s">
        <v>1385</v>
      </c>
      <c r="C419" t="s">
        <v>806</v>
      </c>
      <c r="D419" t="s">
        <v>55</v>
      </c>
      <c r="E419" t="s">
        <v>40</v>
      </c>
      <c r="F419" s="3">
        <v>42682</v>
      </c>
      <c r="G419" s="3">
        <v>42879</v>
      </c>
      <c r="H419" t="s">
        <v>1386</v>
      </c>
      <c r="I419" t="s">
        <v>33</v>
      </c>
      <c r="N419" s="3"/>
      <c r="O419" t="s">
        <v>372</v>
      </c>
      <c r="Q419" s="3"/>
      <c r="R419" s="3"/>
      <c r="S419" s="3"/>
      <c r="T419" t="s">
        <v>36</v>
      </c>
      <c r="V419" s="3"/>
      <c r="W419" s="3"/>
      <c r="X419" s="3"/>
      <c r="Y419" s="3"/>
      <c r="Z419" s="3"/>
      <c r="AA419" s="3"/>
      <c r="AB419" s="3"/>
    </row>
    <row r="420" spans="1:29" x14ac:dyDescent="0.3">
      <c r="A420" s="2" t="str">
        <f>HYPERLINK("https://www.cadth.ca/insulin-glargine-rdna-origin", "Lantus")</f>
        <v>Lantus</v>
      </c>
      <c r="B420" t="s">
        <v>1387</v>
      </c>
      <c r="C420" t="s">
        <v>1388</v>
      </c>
      <c r="D420" t="s">
        <v>39</v>
      </c>
      <c r="E420" t="s">
        <v>40</v>
      </c>
      <c r="F420" s="3">
        <v>38394</v>
      </c>
      <c r="G420" s="3">
        <v>38623</v>
      </c>
      <c r="H420" t="s">
        <v>1389</v>
      </c>
      <c r="I420" t="s">
        <v>33</v>
      </c>
      <c r="N420" s="3"/>
      <c r="O420" t="s">
        <v>1390</v>
      </c>
      <c r="Q420" s="3"/>
      <c r="R420" s="3"/>
      <c r="S420" s="3"/>
      <c r="T420" t="s">
        <v>36</v>
      </c>
      <c r="V420" s="3"/>
      <c r="W420" s="3"/>
      <c r="X420" s="3"/>
      <c r="Y420" s="3"/>
      <c r="Z420" s="3"/>
      <c r="AA420" s="3"/>
      <c r="AB420" s="3"/>
    </row>
    <row r="421" spans="1:29" x14ac:dyDescent="0.3">
      <c r="A421" s="2" t="str">
        <f>HYPERLINK("https://www.cadth.ca/insulin-glargine-rdna-origin-0", "Lantus")</f>
        <v>Lantus</v>
      </c>
      <c r="B421" t="s">
        <v>1387</v>
      </c>
      <c r="C421" t="s">
        <v>1388</v>
      </c>
      <c r="D421" t="s">
        <v>39</v>
      </c>
      <c r="E421" t="s">
        <v>40</v>
      </c>
      <c r="F421" s="3">
        <v>38803</v>
      </c>
      <c r="G421" s="3">
        <v>39015</v>
      </c>
      <c r="H421" t="s">
        <v>1391</v>
      </c>
      <c r="I421" t="s">
        <v>33</v>
      </c>
      <c r="N421" s="3"/>
      <c r="O421" t="s">
        <v>233</v>
      </c>
      <c r="Q421" s="3"/>
      <c r="R421" s="3"/>
      <c r="S421" s="3"/>
      <c r="T421" t="s">
        <v>142</v>
      </c>
      <c r="V421" s="3"/>
      <c r="W421" s="3"/>
      <c r="X421" s="3"/>
      <c r="Y421" s="3"/>
      <c r="Z421" s="3"/>
      <c r="AA421" s="3"/>
      <c r="AB421" s="3"/>
    </row>
    <row r="422" spans="1:29" x14ac:dyDescent="0.3">
      <c r="A422" s="2" t="str">
        <f>HYPERLINK("https://www.cadth.ca/insulin-glargine-rdna-origin-1", "Lantus")</f>
        <v>Lantus</v>
      </c>
      <c r="B422" t="s">
        <v>1387</v>
      </c>
      <c r="C422" t="s">
        <v>1388</v>
      </c>
      <c r="E422" t="s">
        <v>40</v>
      </c>
      <c r="F422" s="3">
        <v>39973</v>
      </c>
      <c r="G422" s="3"/>
      <c r="H422" t="s">
        <v>1392</v>
      </c>
      <c r="I422" t="s">
        <v>33</v>
      </c>
      <c r="N422" s="3"/>
      <c r="O422" t="s">
        <v>233</v>
      </c>
      <c r="Q422" s="3"/>
      <c r="R422" s="3"/>
      <c r="S422" s="3"/>
      <c r="T422" t="s">
        <v>49</v>
      </c>
      <c r="V422" s="3"/>
      <c r="W422" s="3"/>
      <c r="X422" s="3"/>
      <c r="Y422" s="3"/>
      <c r="Z422" s="3"/>
      <c r="AA422" s="3"/>
      <c r="AB422" s="3"/>
    </row>
    <row r="423" spans="1:29" x14ac:dyDescent="0.3">
      <c r="A423" s="2" t="str">
        <f>HYPERLINK("https://www.cadth.ca/pegfilgrastim-0", "Lapelga")</f>
        <v>Lapelga</v>
      </c>
      <c r="B423" t="s">
        <v>1393</v>
      </c>
      <c r="C423" t="s">
        <v>1394</v>
      </c>
      <c r="E423" t="s">
        <v>40</v>
      </c>
      <c r="F423" s="3">
        <v>43154</v>
      </c>
      <c r="G423" s="3"/>
      <c r="H423" t="s">
        <v>1395</v>
      </c>
      <c r="I423" t="s">
        <v>33</v>
      </c>
      <c r="N423" s="3"/>
      <c r="O423" t="s">
        <v>1396</v>
      </c>
      <c r="Q423" s="3"/>
      <c r="R423" s="3"/>
      <c r="S423" s="3"/>
      <c r="T423" t="s">
        <v>36</v>
      </c>
      <c r="V423" s="3"/>
      <c r="W423" s="3"/>
      <c r="X423" s="3"/>
      <c r="Y423" s="3"/>
      <c r="Z423" s="3"/>
      <c r="AA423" s="3"/>
      <c r="AB423" s="3"/>
    </row>
    <row r="424" spans="1:29" x14ac:dyDescent="0.3">
      <c r="A424" s="2" t="str">
        <f>HYPERLINK("https://www.cadth.ca/node/104477", "Lartruvo")</f>
        <v>Lartruvo</v>
      </c>
      <c r="B424" t="s">
        <v>1397</v>
      </c>
      <c r="C424" t="s">
        <v>1398</v>
      </c>
      <c r="D424" t="s">
        <v>55</v>
      </c>
      <c r="E424" t="s">
        <v>40</v>
      </c>
      <c r="F424" s="3">
        <v>43034</v>
      </c>
      <c r="G424" s="3">
        <v>43208</v>
      </c>
      <c r="H424" t="s">
        <v>1399</v>
      </c>
      <c r="I424" t="s">
        <v>33</v>
      </c>
      <c r="J424" t="s">
        <v>643</v>
      </c>
      <c r="K424" t="s">
        <v>1400</v>
      </c>
      <c r="L424" t="s">
        <v>1401</v>
      </c>
      <c r="M424" t="s">
        <v>60</v>
      </c>
      <c r="N424" s="3">
        <v>43062</v>
      </c>
      <c r="O424" t="s">
        <v>133</v>
      </c>
      <c r="P424" t="s">
        <v>133</v>
      </c>
      <c r="Q424" s="3"/>
      <c r="R424" s="3"/>
      <c r="S424" s="3">
        <v>43041</v>
      </c>
      <c r="U424" t="s">
        <v>99</v>
      </c>
      <c r="V424" s="3">
        <v>43048</v>
      </c>
      <c r="W424" s="3">
        <v>43082</v>
      </c>
      <c r="X424" s="3">
        <v>43174</v>
      </c>
      <c r="Y424" s="3">
        <v>43188</v>
      </c>
      <c r="Z424" s="3">
        <v>43203</v>
      </c>
      <c r="AA424" s="3"/>
      <c r="AB424" s="3">
        <v>43223</v>
      </c>
    </row>
    <row r="425" spans="1:29" x14ac:dyDescent="0.3">
      <c r="A425" s="2" t="str">
        <f>HYPERLINK("https://www.cadth.ca/lurasidone-0", "Latuda")</f>
        <v>Latuda</v>
      </c>
      <c r="B425" t="s">
        <v>1402</v>
      </c>
      <c r="C425" t="s">
        <v>38</v>
      </c>
      <c r="D425" t="s">
        <v>50</v>
      </c>
      <c r="E425" t="s">
        <v>40</v>
      </c>
      <c r="F425" s="3">
        <v>41403</v>
      </c>
      <c r="G425" s="3">
        <v>41628</v>
      </c>
      <c r="H425" t="s">
        <v>1403</v>
      </c>
      <c r="I425" t="s">
        <v>33</v>
      </c>
      <c r="N425" s="3"/>
      <c r="O425" t="s">
        <v>1404</v>
      </c>
      <c r="Q425" s="3"/>
      <c r="R425" s="3"/>
      <c r="S425" s="3"/>
      <c r="T425" t="s">
        <v>142</v>
      </c>
      <c r="V425" s="3"/>
      <c r="W425" s="3"/>
      <c r="X425" s="3"/>
      <c r="Y425" s="3"/>
      <c r="Z425" s="3"/>
      <c r="AA425" s="3"/>
      <c r="AB425" s="3"/>
    </row>
    <row r="426" spans="1:29" x14ac:dyDescent="0.3">
      <c r="A426" s="2" t="str">
        <f>HYPERLINK("https://www.cadth.ca/lurasidone", "Latuda")</f>
        <v>Latuda</v>
      </c>
      <c r="B426" t="s">
        <v>1402</v>
      </c>
      <c r="C426" t="s">
        <v>38</v>
      </c>
      <c r="D426" t="s">
        <v>39</v>
      </c>
      <c r="E426" t="s">
        <v>40</v>
      </c>
      <c r="F426" s="3">
        <v>41093</v>
      </c>
      <c r="G426" s="3">
        <v>41297</v>
      </c>
      <c r="H426" t="s">
        <v>1405</v>
      </c>
      <c r="I426" t="s">
        <v>33</v>
      </c>
      <c r="N426" s="3"/>
      <c r="O426" t="s">
        <v>1404</v>
      </c>
      <c r="Q426" s="3"/>
      <c r="R426" s="3"/>
      <c r="S426" s="3"/>
      <c r="T426" t="s">
        <v>36</v>
      </c>
      <c r="V426" s="3"/>
      <c r="W426" s="3"/>
      <c r="X426" s="3"/>
      <c r="Y426" s="3"/>
      <c r="Z426" s="3"/>
      <c r="AA426" s="3"/>
      <c r="AB426" s="3"/>
    </row>
    <row r="427" spans="1:29" x14ac:dyDescent="0.3">
      <c r="A427" s="2" t="str">
        <f>HYPERLINK("https://www.cadth.ca/lurasidone-1", "Latuda")</f>
        <v>Latuda</v>
      </c>
      <c r="B427" t="s">
        <v>1406</v>
      </c>
      <c r="D427" t="s">
        <v>577</v>
      </c>
      <c r="E427" t="s">
        <v>578</v>
      </c>
      <c r="F427" s="3"/>
      <c r="G427" s="3"/>
      <c r="I427" t="s">
        <v>33</v>
      </c>
      <c r="N427" s="3"/>
      <c r="O427" t="s">
        <v>1404</v>
      </c>
      <c r="Q427" s="3"/>
      <c r="R427" s="3"/>
      <c r="S427" s="3"/>
      <c r="T427" t="s">
        <v>579</v>
      </c>
      <c r="V427" s="3"/>
      <c r="W427" s="3"/>
      <c r="X427" s="3"/>
      <c r="Y427" s="3"/>
      <c r="Z427" s="3"/>
      <c r="AA427" s="3"/>
      <c r="AB427" s="3"/>
    </row>
    <row r="428" spans="1:29" x14ac:dyDescent="0.3">
      <c r="A428" s="2" t="str">
        <f>HYPERLINK("https://www.cadth.ca/chlormethine-hydrochloride", "Ledaga")</f>
        <v>Ledaga</v>
      </c>
      <c r="B428" t="s">
        <v>1407</v>
      </c>
      <c r="C428" t="s">
        <v>1408</v>
      </c>
      <c r="E428" t="s">
        <v>31</v>
      </c>
      <c r="F428" s="3">
        <v>44186</v>
      </c>
      <c r="G428" s="3"/>
      <c r="H428" t="s">
        <v>1409</v>
      </c>
      <c r="I428" t="s">
        <v>33</v>
      </c>
      <c r="K428" t="s">
        <v>96</v>
      </c>
      <c r="N428" s="3"/>
      <c r="O428" t="s">
        <v>651</v>
      </c>
      <c r="Q428" s="3"/>
      <c r="R428" s="3"/>
      <c r="S428" s="3"/>
      <c r="T428" t="s">
        <v>36</v>
      </c>
      <c r="V428" s="3"/>
      <c r="W428" s="3"/>
      <c r="X428" s="3"/>
      <c r="Y428" s="3"/>
      <c r="Z428" s="3"/>
      <c r="AA428" s="3"/>
      <c r="AB428" s="3"/>
    </row>
    <row r="429" spans="1:29" x14ac:dyDescent="0.3">
      <c r="A429" s="2" t="str">
        <f>HYPERLINK("https://www.cadth.ca/alemtuzumab-0", "Lemtrada")</f>
        <v>Lemtrada</v>
      </c>
      <c r="B429" t="s">
        <v>1410</v>
      </c>
      <c r="C429" t="s">
        <v>304</v>
      </c>
      <c r="D429" t="s">
        <v>50</v>
      </c>
      <c r="E429" t="s">
        <v>40</v>
      </c>
      <c r="F429" s="3">
        <v>41970</v>
      </c>
      <c r="G429" s="3">
        <v>42173</v>
      </c>
      <c r="H429" t="s">
        <v>1411</v>
      </c>
      <c r="I429" t="s">
        <v>33</v>
      </c>
      <c r="N429" s="3"/>
      <c r="O429" t="s">
        <v>1412</v>
      </c>
      <c r="Q429" s="3"/>
      <c r="R429" s="3"/>
      <c r="S429" s="3"/>
      <c r="T429" t="s">
        <v>36</v>
      </c>
      <c r="V429" s="3"/>
      <c r="W429" s="3"/>
      <c r="X429" s="3"/>
      <c r="Y429" s="3"/>
      <c r="Z429" s="3"/>
      <c r="AA429" s="3"/>
      <c r="AB429" s="3"/>
    </row>
    <row r="430" spans="1:29" x14ac:dyDescent="0.3">
      <c r="A430" s="2" t="str">
        <f>HYPERLINK("https://www.cadth.ca/alemtuzumab", "Lemtrada")</f>
        <v>Lemtrada</v>
      </c>
      <c r="B430" t="s">
        <v>1410</v>
      </c>
      <c r="C430" t="s">
        <v>304</v>
      </c>
      <c r="E430" t="s">
        <v>113</v>
      </c>
      <c r="F430" s="3">
        <v>41548</v>
      </c>
      <c r="G430" s="3"/>
      <c r="H430" t="s">
        <v>1413</v>
      </c>
      <c r="I430" t="s">
        <v>33</v>
      </c>
      <c r="N430" s="3"/>
      <c r="O430" t="s">
        <v>1414</v>
      </c>
      <c r="Q430" s="3"/>
      <c r="R430" s="3"/>
      <c r="S430" s="3"/>
      <c r="T430" t="s">
        <v>36</v>
      </c>
      <c r="V430" s="3"/>
      <c r="W430" s="3"/>
      <c r="X430" s="3"/>
      <c r="Y430" s="3"/>
      <c r="Z430" s="3"/>
      <c r="AA430" s="3"/>
      <c r="AB430" s="3"/>
    </row>
    <row r="431" spans="1:29" x14ac:dyDescent="0.3">
      <c r="A431" s="2" t="str">
        <f>HYPERLINK("https://www.cadth.ca/node/93695", "Lenvima")</f>
        <v>Lenvima</v>
      </c>
      <c r="B431" t="s">
        <v>1415</v>
      </c>
      <c r="C431" t="s">
        <v>1416</v>
      </c>
      <c r="D431" t="s">
        <v>55</v>
      </c>
      <c r="E431" t="s">
        <v>40</v>
      </c>
      <c r="F431" s="3">
        <v>42478</v>
      </c>
      <c r="G431" s="3">
        <v>42633</v>
      </c>
      <c r="H431" t="s">
        <v>1417</v>
      </c>
      <c r="I431" t="s">
        <v>33</v>
      </c>
      <c r="J431" t="s">
        <v>1418</v>
      </c>
      <c r="K431" t="s">
        <v>184</v>
      </c>
      <c r="L431" t="s">
        <v>1419</v>
      </c>
      <c r="N431" s="3">
        <v>42360</v>
      </c>
      <c r="O431" t="s">
        <v>224</v>
      </c>
      <c r="P431" t="s">
        <v>224</v>
      </c>
      <c r="Q431" s="3"/>
      <c r="R431" s="3"/>
      <c r="S431" s="3">
        <v>42485</v>
      </c>
      <c r="U431" t="s">
        <v>99</v>
      </c>
      <c r="V431" s="3">
        <v>42492</v>
      </c>
      <c r="W431" s="3">
        <v>42536</v>
      </c>
      <c r="X431" s="3">
        <v>42600</v>
      </c>
      <c r="Y431" s="3">
        <v>42614</v>
      </c>
      <c r="Z431" s="3">
        <v>42629</v>
      </c>
      <c r="AA431" s="3"/>
      <c r="AB431" s="3">
        <v>42648</v>
      </c>
    </row>
    <row r="432" spans="1:29" x14ac:dyDescent="0.3">
      <c r="A432" s="2" t="str">
        <f>HYPERLINK("https://www.cadth.ca/node/112857", "Lenvima")</f>
        <v>Lenvima</v>
      </c>
      <c r="B432" t="s">
        <v>1415</v>
      </c>
      <c r="C432" t="s">
        <v>1420</v>
      </c>
      <c r="D432" t="s">
        <v>55</v>
      </c>
      <c r="E432" t="s">
        <v>40</v>
      </c>
      <c r="F432" s="3">
        <v>43504</v>
      </c>
      <c r="G432" s="3">
        <v>43670</v>
      </c>
      <c r="H432" t="s">
        <v>1421</v>
      </c>
      <c r="I432" t="s">
        <v>33</v>
      </c>
      <c r="J432" t="s">
        <v>1422</v>
      </c>
      <c r="K432" t="s">
        <v>58</v>
      </c>
      <c r="L432" t="s">
        <v>1423</v>
      </c>
      <c r="N432" s="3">
        <v>43453</v>
      </c>
      <c r="O432" t="s">
        <v>224</v>
      </c>
      <c r="P432" t="s">
        <v>224</v>
      </c>
      <c r="Q432" s="3"/>
      <c r="R432" s="3"/>
      <c r="S432" s="3">
        <v>43521</v>
      </c>
      <c r="V432" s="3">
        <v>43521</v>
      </c>
      <c r="W432" s="3">
        <v>43567</v>
      </c>
      <c r="X432" s="3">
        <v>43636</v>
      </c>
      <c r="Y432" s="3">
        <v>43651</v>
      </c>
      <c r="Z432" s="3">
        <v>43665</v>
      </c>
      <c r="AA432" s="3"/>
      <c r="AB432" s="3">
        <v>43686</v>
      </c>
    </row>
    <row r="433" spans="1:28" x14ac:dyDescent="0.3">
      <c r="A433" s="2" t="str">
        <f>HYPERLINK("https://www.cadth.ca/node/109159", "Lenvima")</f>
        <v>Lenvima</v>
      </c>
      <c r="B433" t="s">
        <v>1415</v>
      </c>
      <c r="C433" t="s">
        <v>511</v>
      </c>
      <c r="D433" t="s">
        <v>127</v>
      </c>
      <c r="E433" t="s">
        <v>40</v>
      </c>
      <c r="F433" s="3">
        <v>43259</v>
      </c>
      <c r="G433" s="3">
        <v>43469</v>
      </c>
      <c r="H433" t="s">
        <v>1424</v>
      </c>
      <c r="I433" t="s">
        <v>33</v>
      </c>
      <c r="J433" t="s">
        <v>1425</v>
      </c>
      <c r="K433" t="s">
        <v>367</v>
      </c>
      <c r="L433" t="s">
        <v>1426</v>
      </c>
      <c r="N433" s="3">
        <v>42991</v>
      </c>
      <c r="O433" t="s">
        <v>224</v>
      </c>
      <c r="P433" t="s">
        <v>224</v>
      </c>
      <c r="Q433" s="3"/>
      <c r="R433" s="3"/>
      <c r="S433" s="3">
        <v>43266</v>
      </c>
      <c r="U433" t="s">
        <v>214</v>
      </c>
      <c r="V433" s="3">
        <v>43273</v>
      </c>
      <c r="W433" s="3">
        <v>43326</v>
      </c>
      <c r="X433" s="3">
        <v>43391</v>
      </c>
      <c r="Y433" s="3">
        <v>43405</v>
      </c>
      <c r="Z433" s="3">
        <v>43419</v>
      </c>
      <c r="AA433" s="3"/>
      <c r="AB433" s="3">
        <v>43486</v>
      </c>
    </row>
    <row r="434" spans="1:28" x14ac:dyDescent="0.3">
      <c r="A434" s="2" t="str">
        <f>HYPERLINK("https://www.cadth.ca/inclisiran", "Leqvio")</f>
        <v>Leqvio</v>
      </c>
      <c r="B434" t="s">
        <v>1427</v>
      </c>
      <c r="C434" t="s">
        <v>1428</v>
      </c>
      <c r="E434" t="s">
        <v>31</v>
      </c>
      <c r="F434" s="3">
        <v>44272</v>
      </c>
      <c r="G434" s="3"/>
      <c r="H434" t="s">
        <v>1429</v>
      </c>
      <c r="I434" t="s">
        <v>33</v>
      </c>
      <c r="N434" s="3"/>
      <c r="O434" t="s">
        <v>71</v>
      </c>
      <c r="Q434" s="3"/>
      <c r="R434" s="3"/>
      <c r="S434" s="3"/>
      <c r="T434" t="s">
        <v>36</v>
      </c>
      <c r="V434" s="3"/>
      <c r="W434" s="3"/>
      <c r="X434" s="3"/>
      <c r="Y434" s="3"/>
      <c r="Z434" s="3"/>
      <c r="AA434" s="3"/>
      <c r="AB434" s="3"/>
    </row>
    <row r="435" spans="1:28" x14ac:dyDescent="0.3">
      <c r="A435" s="2" t="str">
        <f>HYPERLINK("https://www.cadth.ca/insulin-detemir-2", "Levemir")</f>
        <v>Levemir</v>
      </c>
      <c r="B435" t="s">
        <v>1430</v>
      </c>
      <c r="C435" t="s">
        <v>1431</v>
      </c>
      <c r="D435" t="s">
        <v>39</v>
      </c>
      <c r="E435" t="s">
        <v>40</v>
      </c>
      <c r="F435" s="3">
        <v>39882</v>
      </c>
      <c r="G435" s="3">
        <v>40045</v>
      </c>
      <c r="H435" t="s">
        <v>1432</v>
      </c>
      <c r="I435" t="s">
        <v>33</v>
      </c>
      <c r="N435" s="3"/>
      <c r="O435" t="s">
        <v>1433</v>
      </c>
      <c r="Q435" s="3"/>
      <c r="R435" s="3"/>
      <c r="S435" s="3"/>
      <c r="T435" t="s">
        <v>36</v>
      </c>
      <c r="V435" s="3"/>
      <c r="W435" s="3"/>
      <c r="X435" s="3"/>
      <c r="Y435" s="3"/>
      <c r="Z435" s="3"/>
      <c r="AA435" s="3"/>
      <c r="AB435" s="3"/>
    </row>
    <row r="436" spans="1:28" x14ac:dyDescent="0.3">
      <c r="A436" s="2" t="str">
        <f>HYPERLINK("https://www.cadth.ca/insulin-detemir-0", "Levemir")</f>
        <v>Levemir</v>
      </c>
      <c r="B436" t="s">
        <v>1430</v>
      </c>
      <c r="C436" t="s">
        <v>813</v>
      </c>
      <c r="E436" t="s">
        <v>113</v>
      </c>
      <c r="F436" s="3">
        <v>39846</v>
      </c>
      <c r="G436" s="3"/>
      <c r="H436" t="s">
        <v>1434</v>
      </c>
      <c r="I436" t="s">
        <v>33</v>
      </c>
      <c r="N436" s="3"/>
      <c r="O436" t="s">
        <v>1433</v>
      </c>
      <c r="Q436" s="3"/>
      <c r="R436" s="3"/>
      <c r="S436" s="3"/>
      <c r="T436" t="s">
        <v>142</v>
      </c>
      <c r="V436" s="3"/>
      <c r="W436" s="3"/>
      <c r="X436" s="3"/>
      <c r="Y436" s="3"/>
      <c r="Z436" s="3"/>
      <c r="AA436" s="3"/>
      <c r="AB436" s="3"/>
    </row>
    <row r="437" spans="1:28" x14ac:dyDescent="0.3">
      <c r="A437" s="2" t="str">
        <f>HYPERLINK("https://www.cadth.ca/insulin-detemir-1", "Levemir")</f>
        <v>Levemir</v>
      </c>
      <c r="B437" t="s">
        <v>1430</v>
      </c>
      <c r="C437" t="s">
        <v>813</v>
      </c>
      <c r="D437" t="s">
        <v>39</v>
      </c>
      <c r="E437" t="s">
        <v>40</v>
      </c>
      <c r="F437" s="3">
        <v>39882</v>
      </c>
      <c r="G437" s="3">
        <v>40045</v>
      </c>
      <c r="H437" t="s">
        <v>1435</v>
      </c>
      <c r="I437" t="s">
        <v>33</v>
      </c>
      <c r="N437" s="3"/>
      <c r="O437" t="s">
        <v>1433</v>
      </c>
      <c r="Q437" s="3"/>
      <c r="R437" s="3"/>
      <c r="S437" s="3"/>
      <c r="T437" t="s">
        <v>142</v>
      </c>
      <c r="V437" s="3"/>
      <c r="W437" s="3"/>
      <c r="X437" s="3"/>
      <c r="Y437" s="3"/>
      <c r="Z437" s="3"/>
      <c r="AA437" s="3"/>
      <c r="AB437" s="3"/>
    </row>
    <row r="438" spans="1:28" x14ac:dyDescent="0.3">
      <c r="A438" s="2" t="str">
        <f>HYPERLINK("https://www.cadth.ca/insulin-detemir", "Levemir")</f>
        <v>Levemir</v>
      </c>
      <c r="B438" t="s">
        <v>1430</v>
      </c>
      <c r="C438" t="s">
        <v>813</v>
      </c>
      <c r="D438" t="s">
        <v>39</v>
      </c>
      <c r="E438" t="s">
        <v>40</v>
      </c>
      <c r="F438" s="3">
        <v>38705</v>
      </c>
      <c r="G438" s="3">
        <v>38931</v>
      </c>
      <c r="H438" t="s">
        <v>1436</v>
      </c>
      <c r="I438" t="s">
        <v>33</v>
      </c>
      <c r="N438" s="3"/>
      <c r="O438" t="s">
        <v>1433</v>
      </c>
      <c r="Q438" s="3"/>
      <c r="R438" s="3"/>
      <c r="S438" s="3"/>
      <c r="T438" t="s">
        <v>36</v>
      </c>
      <c r="V438" s="3"/>
      <c r="W438" s="3"/>
      <c r="X438" s="3"/>
      <c r="Y438" s="3"/>
      <c r="Z438" s="3"/>
      <c r="AA438" s="3"/>
      <c r="AB438" s="3"/>
    </row>
    <row r="439" spans="1:28" x14ac:dyDescent="0.3">
      <c r="A439" s="2" t="str">
        <f>HYPERLINK("https://www.cadth.ca/cemiplimab-0", "Libtayo")</f>
        <v>Libtayo</v>
      </c>
      <c r="B439" t="s">
        <v>1437</v>
      </c>
      <c r="C439" t="s">
        <v>1438</v>
      </c>
      <c r="E439" t="s">
        <v>737</v>
      </c>
      <c r="F439" s="3"/>
      <c r="G439" s="3"/>
      <c r="H439" t="s">
        <v>1439</v>
      </c>
      <c r="I439" t="s">
        <v>33</v>
      </c>
      <c r="K439" t="s">
        <v>205</v>
      </c>
      <c r="N439" s="3"/>
      <c r="O439" t="s">
        <v>1440</v>
      </c>
      <c r="Q439" s="3"/>
      <c r="R439" s="3"/>
      <c r="S439" s="3"/>
      <c r="T439" t="s">
        <v>36</v>
      </c>
      <c r="V439" s="3"/>
      <c r="W439" s="3"/>
      <c r="X439" s="3"/>
      <c r="Y439" s="3"/>
      <c r="Z439" s="3"/>
      <c r="AA439" s="3"/>
      <c r="AB439" s="3"/>
    </row>
    <row r="440" spans="1:28" x14ac:dyDescent="0.3">
      <c r="A440" s="2" t="str">
        <f>HYPERLINK("https://www.cadth.ca/node/115778", "Libtayo")</f>
        <v>Libtayo</v>
      </c>
      <c r="B440" t="s">
        <v>1441</v>
      </c>
      <c r="C440" t="s">
        <v>1442</v>
      </c>
      <c r="D440" t="s">
        <v>55</v>
      </c>
      <c r="E440" t="s">
        <v>40</v>
      </c>
      <c r="F440" s="3">
        <v>43655</v>
      </c>
      <c r="G440" s="3">
        <v>43852</v>
      </c>
      <c r="H440" t="s">
        <v>1443</v>
      </c>
      <c r="I440" t="s">
        <v>33</v>
      </c>
      <c r="J440" t="s">
        <v>1444</v>
      </c>
      <c r="K440" t="s">
        <v>362</v>
      </c>
      <c r="L440" t="s">
        <v>1445</v>
      </c>
      <c r="N440" s="3">
        <v>43565</v>
      </c>
      <c r="O440" t="s">
        <v>535</v>
      </c>
      <c r="P440" t="s">
        <v>535</v>
      </c>
      <c r="Q440" s="3"/>
      <c r="R440" s="3"/>
      <c r="S440" s="3">
        <v>43676</v>
      </c>
      <c r="V440" s="3">
        <v>43669</v>
      </c>
      <c r="W440" s="3">
        <v>43725</v>
      </c>
      <c r="X440" s="3">
        <v>43811</v>
      </c>
      <c r="Y440" s="3">
        <v>43833</v>
      </c>
      <c r="Z440" s="3">
        <v>43847</v>
      </c>
      <c r="AA440" s="3"/>
      <c r="AB440" s="3">
        <v>43867</v>
      </c>
    </row>
    <row r="441" spans="1:28" x14ac:dyDescent="0.3">
      <c r="A441" s="2" t="str">
        <f>HYPERLINK("https://www.cadth.ca/cemiplimab", "Libtayo")</f>
        <v>Libtayo</v>
      </c>
      <c r="B441" t="s">
        <v>1437</v>
      </c>
      <c r="C441" t="s">
        <v>1446</v>
      </c>
      <c r="E441" t="s">
        <v>31</v>
      </c>
      <c r="F441" s="3">
        <v>44427</v>
      </c>
      <c r="G441" s="3"/>
      <c r="H441" t="s">
        <v>1447</v>
      </c>
      <c r="I441" t="s">
        <v>33</v>
      </c>
      <c r="K441" t="s">
        <v>362</v>
      </c>
      <c r="N441" s="3"/>
      <c r="O441" t="s">
        <v>731</v>
      </c>
      <c r="Q441" s="3"/>
      <c r="R441" s="3"/>
      <c r="S441" s="3"/>
      <c r="T441" t="s">
        <v>36</v>
      </c>
      <c r="V441" s="3"/>
      <c r="W441" s="3"/>
      <c r="X441" s="3"/>
      <c r="Y441" s="3"/>
      <c r="Z441" s="3"/>
      <c r="AA441" s="3"/>
      <c r="AB441" s="3"/>
    </row>
    <row r="442" spans="1:28" x14ac:dyDescent="0.3">
      <c r="A442" s="2" t="str">
        <f>HYPERLINK("https://www.cadth.ca/edoxaban", "Lixiana NVAF")</f>
        <v>Lixiana NVAF</v>
      </c>
      <c r="B442" t="s">
        <v>1448</v>
      </c>
      <c r="C442" t="s">
        <v>1449</v>
      </c>
      <c r="D442" t="s">
        <v>55</v>
      </c>
      <c r="E442" t="s">
        <v>40</v>
      </c>
      <c r="F442" s="3">
        <v>42622</v>
      </c>
      <c r="G442" s="3">
        <v>42815</v>
      </c>
      <c r="H442" t="s">
        <v>1450</v>
      </c>
      <c r="I442" t="s">
        <v>33</v>
      </c>
      <c r="N442" s="3"/>
      <c r="O442" t="s">
        <v>1451</v>
      </c>
      <c r="Q442" s="3"/>
      <c r="R442" s="3"/>
      <c r="S442" s="3"/>
      <c r="T442" t="s">
        <v>36</v>
      </c>
      <c r="V442" s="3"/>
      <c r="W442" s="3"/>
      <c r="X442" s="3"/>
      <c r="Y442" s="3"/>
      <c r="Z442" s="3"/>
      <c r="AA442" s="3"/>
      <c r="AB442" s="3"/>
    </row>
    <row r="443" spans="1:28" x14ac:dyDescent="0.3">
      <c r="A443" s="2" t="str">
        <f>HYPERLINK("https://www.cadth.ca/edoxaban-0", "Lixiana VTE")</f>
        <v>Lixiana VTE</v>
      </c>
      <c r="B443" t="s">
        <v>1448</v>
      </c>
      <c r="C443" t="s">
        <v>1452</v>
      </c>
      <c r="D443" t="s">
        <v>55</v>
      </c>
      <c r="E443" t="s">
        <v>40</v>
      </c>
      <c r="F443" s="3">
        <v>42622</v>
      </c>
      <c r="G443" s="3">
        <v>42880</v>
      </c>
      <c r="H443" t="s">
        <v>1453</v>
      </c>
      <c r="I443" t="s">
        <v>33</v>
      </c>
      <c r="N443" s="3"/>
      <c r="O443" t="s">
        <v>1451</v>
      </c>
      <c r="Q443" s="3"/>
      <c r="R443" s="3"/>
      <c r="S443" s="3"/>
      <c r="T443" t="s">
        <v>36</v>
      </c>
      <c r="V443" s="3"/>
      <c r="W443" s="3"/>
      <c r="X443" s="3"/>
      <c r="Y443" s="3"/>
      <c r="Z443" s="3"/>
      <c r="AA443" s="3"/>
      <c r="AB443" s="3"/>
    </row>
    <row r="444" spans="1:28" x14ac:dyDescent="0.3">
      <c r="A444" s="2" t="str">
        <f>HYPERLINK("https://www.cadth.ca/colesevelam-hydrochloride", "Lodalis")</f>
        <v>Lodalis</v>
      </c>
      <c r="B444" t="s">
        <v>1454</v>
      </c>
      <c r="C444" t="s">
        <v>1455</v>
      </c>
      <c r="D444" t="s">
        <v>228</v>
      </c>
      <c r="E444" t="s">
        <v>40</v>
      </c>
      <c r="F444" s="3">
        <v>41026</v>
      </c>
      <c r="G444" s="3">
        <v>41262</v>
      </c>
      <c r="H444" t="s">
        <v>1456</v>
      </c>
      <c r="I444" t="s">
        <v>33</v>
      </c>
      <c r="N444" s="3"/>
      <c r="O444" t="s">
        <v>1457</v>
      </c>
      <c r="Q444" s="3"/>
      <c r="R444" s="3"/>
      <c r="S444" s="3"/>
      <c r="T444" t="s">
        <v>36</v>
      </c>
      <c r="V444" s="3"/>
      <c r="W444" s="3"/>
      <c r="X444" s="3"/>
      <c r="Y444" s="3"/>
      <c r="Z444" s="3"/>
      <c r="AA444" s="3"/>
      <c r="AB444" s="3"/>
    </row>
    <row r="445" spans="1:28" x14ac:dyDescent="0.3">
      <c r="A445" s="2" t="str">
        <f>HYPERLINK("https://www.cadth.ca/sodium-zirconium-cyclosilicate", "Lokelma")</f>
        <v>Lokelma</v>
      </c>
      <c r="B445" t="s">
        <v>1458</v>
      </c>
      <c r="C445" t="s">
        <v>1459</v>
      </c>
      <c r="D445" t="s">
        <v>127</v>
      </c>
      <c r="E445" t="s">
        <v>40</v>
      </c>
      <c r="F445" s="3">
        <v>43602</v>
      </c>
      <c r="G445" s="3">
        <v>43915</v>
      </c>
      <c r="H445" t="s">
        <v>1460</v>
      </c>
      <c r="I445" t="s">
        <v>33</v>
      </c>
      <c r="N445" s="3"/>
      <c r="O445" t="s">
        <v>465</v>
      </c>
      <c r="Q445" s="3"/>
      <c r="R445" s="3"/>
      <c r="S445" s="3"/>
      <c r="T445" t="s">
        <v>36</v>
      </c>
      <c r="V445" s="3"/>
      <c r="W445" s="3"/>
      <c r="X445" s="3"/>
      <c r="Y445" s="3"/>
      <c r="Z445" s="3"/>
      <c r="AA445" s="3"/>
      <c r="AB445" s="3"/>
    </row>
    <row r="446" spans="1:28" x14ac:dyDescent="0.3">
      <c r="A446" s="2" t="str">
        <f>HYPERLINK("https://www.cadth.ca/node/116765", "Lonsurf")</f>
        <v>Lonsurf</v>
      </c>
      <c r="B446" t="s">
        <v>1461</v>
      </c>
      <c r="C446" t="s">
        <v>1462</v>
      </c>
      <c r="D446" t="s">
        <v>55</v>
      </c>
      <c r="E446" t="s">
        <v>40</v>
      </c>
      <c r="F446" s="3">
        <v>43711</v>
      </c>
      <c r="G446" s="3">
        <v>43914</v>
      </c>
      <c r="H446" t="s">
        <v>1463</v>
      </c>
      <c r="I446" t="s">
        <v>33</v>
      </c>
      <c r="J446" t="s">
        <v>1464</v>
      </c>
      <c r="K446" t="s">
        <v>58</v>
      </c>
      <c r="L446" t="s">
        <v>1465</v>
      </c>
      <c r="M446" t="s">
        <v>60</v>
      </c>
      <c r="N446" s="3">
        <v>43788</v>
      </c>
      <c r="O446" t="s">
        <v>1162</v>
      </c>
      <c r="P446" t="s">
        <v>1162</v>
      </c>
      <c r="Q446" s="3"/>
      <c r="R446" s="3"/>
      <c r="S446" s="3">
        <v>43725</v>
      </c>
      <c r="V446" s="3">
        <v>43725</v>
      </c>
      <c r="W446" s="3">
        <v>43775</v>
      </c>
      <c r="X446" s="3">
        <v>43881</v>
      </c>
      <c r="Y446" s="3">
        <v>43895</v>
      </c>
      <c r="Z446" s="3">
        <v>43909</v>
      </c>
      <c r="AA446" s="3"/>
      <c r="AB446" s="3">
        <v>43929</v>
      </c>
    </row>
    <row r="447" spans="1:28" x14ac:dyDescent="0.3">
      <c r="A447" s="2" t="str">
        <f>HYPERLINK("https://www.cadth.ca/node/112589", "Lonsurf")</f>
        <v>Lonsurf</v>
      </c>
      <c r="B447" t="s">
        <v>1466</v>
      </c>
      <c r="C447" t="s">
        <v>1467</v>
      </c>
      <c r="D447" t="s">
        <v>127</v>
      </c>
      <c r="E447" t="s">
        <v>40</v>
      </c>
      <c r="F447" s="3">
        <v>43486</v>
      </c>
      <c r="G447" s="3">
        <v>43706</v>
      </c>
      <c r="H447" t="s">
        <v>1468</v>
      </c>
      <c r="I447" t="s">
        <v>33</v>
      </c>
      <c r="J447" t="s">
        <v>1469</v>
      </c>
      <c r="K447" t="s">
        <v>58</v>
      </c>
      <c r="L447" t="s">
        <v>1470</v>
      </c>
      <c r="N447" s="3">
        <v>43125</v>
      </c>
      <c r="O447" t="s">
        <v>1162</v>
      </c>
      <c r="P447" t="s">
        <v>1162</v>
      </c>
      <c r="Q447" s="3"/>
      <c r="R447" s="3"/>
      <c r="S447" s="3">
        <v>43500</v>
      </c>
      <c r="V447" s="3">
        <v>43500</v>
      </c>
      <c r="W447" s="3">
        <v>43564</v>
      </c>
      <c r="X447" s="3">
        <v>43636</v>
      </c>
      <c r="Y447" s="3">
        <v>43651</v>
      </c>
      <c r="Z447" s="3">
        <v>43665</v>
      </c>
      <c r="AA447" s="3"/>
      <c r="AB447" s="3">
        <v>43724</v>
      </c>
    </row>
    <row r="448" spans="1:28" x14ac:dyDescent="0.3">
      <c r="A448" s="2" t="str">
        <f>HYPERLINK("https://www.cadth.ca/node/105551", "Lonsurf")</f>
        <v>Lonsurf</v>
      </c>
      <c r="B448" t="s">
        <v>1466</v>
      </c>
      <c r="C448" t="s">
        <v>324</v>
      </c>
      <c r="D448" t="s">
        <v>127</v>
      </c>
      <c r="E448" t="s">
        <v>40</v>
      </c>
      <c r="F448" s="3">
        <v>43045</v>
      </c>
      <c r="G448" s="3">
        <v>43287</v>
      </c>
      <c r="H448" t="s">
        <v>1471</v>
      </c>
      <c r="I448" t="s">
        <v>33</v>
      </c>
      <c r="J448" t="s">
        <v>1469</v>
      </c>
      <c r="K448" t="s">
        <v>58</v>
      </c>
      <c r="L448" t="s">
        <v>1472</v>
      </c>
      <c r="M448" t="s">
        <v>60</v>
      </c>
      <c r="N448" s="3">
        <v>43125</v>
      </c>
      <c r="O448" t="s">
        <v>1162</v>
      </c>
      <c r="P448" t="s">
        <v>1162</v>
      </c>
      <c r="Q448" s="3"/>
      <c r="R448" s="3"/>
      <c r="S448" s="3">
        <v>43052</v>
      </c>
      <c r="U448" t="s">
        <v>99</v>
      </c>
      <c r="V448" s="3">
        <v>43059</v>
      </c>
      <c r="W448" s="3">
        <v>43109</v>
      </c>
      <c r="X448" s="3">
        <v>43209</v>
      </c>
      <c r="Y448" s="3">
        <v>43223</v>
      </c>
      <c r="Z448" s="3">
        <v>43237</v>
      </c>
      <c r="AA448" s="3"/>
      <c r="AB448" s="3">
        <v>43304</v>
      </c>
    </row>
    <row r="449" spans="1:29" x14ac:dyDescent="0.3">
      <c r="A449" s="2" t="str">
        <f>HYPERLINK("https://www.cadth.ca/node/115210", "Lorbrena")</f>
        <v>Lorbrena</v>
      </c>
      <c r="B449" t="s">
        <v>1473</v>
      </c>
      <c r="C449" t="s">
        <v>1474</v>
      </c>
      <c r="D449" t="s">
        <v>127</v>
      </c>
      <c r="E449" t="s">
        <v>40</v>
      </c>
      <c r="F449" s="3">
        <v>43627</v>
      </c>
      <c r="G449" s="3">
        <v>43860</v>
      </c>
      <c r="H449" t="s">
        <v>1475</v>
      </c>
      <c r="I449" t="s">
        <v>33</v>
      </c>
      <c r="J449" t="s">
        <v>1476</v>
      </c>
      <c r="K449" t="s">
        <v>205</v>
      </c>
      <c r="L449" t="s">
        <v>1477</v>
      </c>
      <c r="N449" s="3">
        <v>43518</v>
      </c>
      <c r="O449" t="s">
        <v>445</v>
      </c>
      <c r="P449" t="s">
        <v>445</v>
      </c>
      <c r="Q449" s="3"/>
      <c r="R449" s="3"/>
      <c r="S449" s="3">
        <v>43641</v>
      </c>
      <c r="V449" s="3">
        <v>43641</v>
      </c>
      <c r="W449" s="3">
        <v>43698</v>
      </c>
      <c r="X449" s="3">
        <v>43790</v>
      </c>
      <c r="Y449" s="3">
        <v>43804</v>
      </c>
      <c r="Z449" s="3">
        <v>43818</v>
      </c>
      <c r="AA449" s="3"/>
      <c r="AB449" s="3">
        <v>43875</v>
      </c>
    </row>
    <row r="450" spans="1:29" x14ac:dyDescent="0.3">
      <c r="A450" s="2" t="str">
        <f>HYPERLINK("https://www.cadth.ca/lorlatinib", "Lorbrena")</f>
        <v>Lorbrena</v>
      </c>
      <c r="B450" t="s">
        <v>1478</v>
      </c>
      <c r="C450" t="s">
        <v>1479</v>
      </c>
      <c r="E450" t="s">
        <v>31</v>
      </c>
      <c r="F450" s="3">
        <v>44365</v>
      </c>
      <c r="G450" s="3"/>
      <c r="H450" t="s">
        <v>1480</v>
      </c>
      <c r="I450" t="s">
        <v>33</v>
      </c>
      <c r="K450" t="s">
        <v>205</v>
      </c>
      <c r="N450" s="3"/>
      <c r="O450" t="s">
        <v>1481</v>
      </c>
      <c r="Q450" s="3"/>
      <c r="R450" s="3"/>
      <c r="S450" s="3"/>
      <c r="T450" t="s">
        <v>36</v>
      </c>
      <c r="V450" s="3"/>
      <c r="W450" s="3"/>
      <c r="X450" s="3"/>
      <c r="Y450" s="3"/>
      <c r="Z450" s="3"/>
      <c r="AA450" s="3"/>
      <c r="AB450" s="3"/>
    </row>
    <row r="451" spans="1:29" x14ac:dyDescent="0.3">
      <c r="A451" s="2" t="str">
        <f>HYPERLINK("https://www.cadth.ca/loteprednol-etabonate", "Lotemax")</f>
        <v>Lotemax</v>
      </c>
      <c r="B451" t="s">
        <v>1482</v>
      </c>
      <c r="C451" t="s">
        <v>1483</v>
      </c>
      <c r="D451" t="s">
        <v>39</v>
      </c>
      <c r="E451" t="s">
        <v>40</v>
      </c>
      <c r="F451" s="3">
        <v>40149</v>
      </c>
      <c r="G451" s="3">
        <v>40317</v>
      </c>
      <c r="H451" t="s">
        <v>1484</v>
      </c>
      <c r="I451" t="s">
        <v>33</v>
      </c>
      <c r="N451" s="3"/>
      <c r="O451" t="s">
        <v>1485</v>
      </c>
      <c r="Q451" s="3"/>
      <c r="R451" s="3"/>
      <c r="S451" s="3"/>
      <c r="T451" t="s">
        <v>36</v>
      </c>
      <c r="V451" s="3"/>
      <c r="W451" s="3"/>
      <c r="X451" s="3"/>
      <c r="Y451" s="3"/>
      <c r="Z451" s="3"/>
      <c r="AA451" s="3"/>
      <c r="AB451" s="3"/>
    </row>
    <row r="452" spans="1:29" x14ac:dyDescent="0.3">
      <c r="A452" s="2" t="str">
        <f>HYPERLINK("https://www.cadth.ca/ranibizumab-1", "Lucentis")</f>
        <v>Lucentis</v>
      </c>
      <c r="B452" t="s">
        <v>1486</v>
      </c>
      <c r="C452" t="s">
        <v>1487</v>
      </c>
      <c r="D452" t="s">
        <v>50</v>
      </c>
      <c r="E452" t="s">
        <v>40</v>
      </c>
      <c r="F452" s="3">
        <v>41698</v>
      </c>
      <c r="G452" s="3">
        <v>42054</v>
      </c>
      <c r="H452" t="s">
        <v>1488</v>
      </c>
      <c r="I452" t="s">
        <v>33</v>
      </c>
      <c r="N452" s="3"/>
      <c r="O452" t="s">
        <v>71</v>
      </c>
      <c r="Q452" s="3"/>
      <c r="R452" s="3"/>
      <c r="S452" s="3"/>
      <c r="T452" t="s">
        <v>36</v>
      </c>
      <c r="V452" s="3"/>
      <c r="W452" s="3"/>
      <c r="X452" s="3"/>
      <c r="Y452" s="3"/>
      <c r="Z452" s="3"/>
      <c r="AA452" s="3"/>
      <c r="AB452" s="3"/>
    </row>
    <row r="453" spans="1:29" x14ac:dyDescent="0.3">
      <c r="A453" s="2" t="str">
        <f>HYPERLINK("https://www.cadth.ca/ranibizumab-0", "Lucentis")</f>
        <v>Lucentis</v>
      </c>
      <c r="B453" t="s">
        <v>1486</v>
      </c>
      <c r="C453" t="s">
        <v>875</v>
      </c>
      <c r="D453" t="s">
        <v>46</v>
      </c>
      <c r="E453" t="s">
        <v>40</v>
      </c>
      <c r="F453" s="3">
        <v>40800</v>
      </c>
      <c r="G453" s="3">
        <v>40987</v>
      </c>
      <c r="H453" t="s">
        <v>1489</v>
      </c>
      <c r="I453" t="s">
        <v>33</v>
      </c>
      <c r="N453" s="3"/>
      <c r="O453" t="s">
        <v>71</v>
      </c>
      <c r="Q453" s="3"/>
      <c r="R453" s="3"/>
      <c r="S453" s="3"/>
      <c r="T453" t="s">
        <v>36</v>
      </c>
      <c r="V453" s="3"/>
      <c r="W453" s="3"/>
      <c r="X453" s="3"/>
      <c r="Y453" s="3"/>
      <c r="Z453" s="3"/>
      <c r="AA453" s="3"/>
      <c r="AB453" s="3"/>
    </row>
    <row r="454" spans="1:29" x14ac:dyDescent="0.3">
      <c r="A454" s="2" t="str">
        <f>HYPERLINK("https://www.cadth.ca/ranibizumab", "Lucentis")</f>
        <v>Lucentis</v>
      </c>
      <c r="B454" t="s">
        <v>1486</v>
      </c>
      <c r="C454" t="s">
        <v>380</v>
      </c>
      <c r="D454" t="s">
        <v>46</v>
      </c>
      <c r="E454" t="s">
        <v>40</v>
      </c>
      <c r="F454" s="3">
        <v>39275</v>
      </c>
      <c r="G454" s="3">
        <v>39534</v>
      </c>
      <c r="H454" t="s">
        <v>1490</v>
      </c>
      <c r="I454" t="s">
        <v>33</v>
      </c>
      <c r="N454" s="3"/>
      <c r="O454" t="s">
        <v>1092</v>
      </c>
      <c r="Q454" s="3"/>
      <c r="R454" s="3"/>
      <c r="S454" s="3"/>
      <c r="T454" t="s">
        <v>36</v>
      </c>
      <c r="V454" s="3"/>
      <c r="W454" s="3"/>
      <c r="X454" s="3"/>
      <c r="Y454" s="3"/>
      <c r="Z454" s="3"/>
      <c r="AA454" s="3"/>
      <c r="AB454" s="3"/>
    </row>
    <row r="455" spans="1:29" x14ac:dyDescent="0.3">
      <c r="A455" s="2" t="str">
        <f>HYPERLINK("https://www.cadth.ca/ranibizumab-injection", "Lucentis")</f>
        <v>Lucentis</v>
      </c>
      <c r="B455" t="s">
        <v>1491</v>
      </c>
      <c r="C455" t="s">
        <v>1492</v>
      </c>
      <c r="D455" t="s">
        <v>46</v>
      </c>
      <c r="E455" t="s">
        <v>40</v>
      </c>
      <c r="F455" s="3">
        <v>41024</v>
      </c>
      <c r="G455" s="3">
        <v>41200</v>
      </c>
      <c r="H455" t="s">
        <v>1493</v>
      </c>
      <c r="I455" t="s">
        <v>33</v>
      </c>
      <c r="N455" s="3"/>
      <c r="O455" t="s">
        <v>71</v>
      </c>
      <c r="Q455" s="3"/>
      <c r="R455" s="3"/>
      <c r="S455" s="3"/>
      <c r="T455" t="s">
        <v>36</v>
      </c>
      <c r="V455" s="3"/>
      <c r="W455" s="3"/>
      <c r="X455" s="3"/>
      <c r="Y455" s="3"/>
      <c r="Z455" s="3"/>
      <c r="AA455" s="3"/>
      <c r="AB455" s="3"/>
    </row>
    <row r="456" spans="1:29" x14ac:dyDescent="0.3">
      <c r="A456" s="2" t="str">
        <f>HYPERLINK("https://www.cadth.ca/node/109158", "Lutathera")</f>
        <v>Lutathera</v>
      </c>
      <c r="B456" t="s">
        <v>1494</v>
      </c>
      <c r="C456" t="s">
        <v>1495</v>
      </c>
      <c r="D456" t="s">
        <v>55</v>
      </c>
      <c r="E456" t="s">
        <v>40</v>
      </c>
      <c r="F456" s="3">
        <v>43311</v>
      </c>
      <c r="G456" s="3">
        <v>43678</v>
      </c>
      <c r="H456" t="s">
        <v>1496</v>
      </c>
      <c r="I456" t="s">
        <v>33</v>
      </c>
      <c r="J456" t="s">
        <v>1497</v>
      </c>
      <c r="K456" t="s">
        <v>58</v>
      </c>
      <c r="L456" t="s">
        <v>1498</v>
      </c>
      <c r="M456" t="s">
        <v>60</v>
      </c>
      <c r="N456" s="3">
        <v>43474</v>
      </c>
      <c r="O456" t="s">
        <v>1499</v>
      </c>
      <c r="P456" t="s">
        <v>1499</v>
      </c>
      <c r="Q456" s="3"/>
      <c r="R456" s="3"/>
      <c r="S456" s="3">
        <v>43319</v>
      </c>
      <c r="U456" t="s">
        <v>99</v>
      </c>
      <c r="V456" s="3">
        <v>43326</v>
      </c>
      <c r="W456" s="3">
        <v>43383</v>
      </c>
      <c r="X456" s="3">
        <v>43601</v>
      </c>
      <c r="Y456" s="3">
        <v>43616</v>
      </c>
      <c r="Z456" s="3">
        <v>43630</v>
      </c>
      <c r="AA456" s="3"/>
      <c r="AB456" s="3">
        <v>43696</v>
      </c>
    </row>
    <row r="457" spans="1:29" x14ac:dyDescent="0.3">
      <c r="A457" s="2" t="str">
        <f>HYPERLINK("https://www.cadth.ca/voretigene-neparvovec", "Luxturna")</f>
        <v>Luxturna</v>
      </c>
      <c r="B457" t="s">
        <v>1500</v>
      </c>
      <c r="C457" t="s">
        <v>1501</v>
      </c>
      <c r="D457" t="s">
        <v>55</v>
      </c>
      <c r="E457" t="s">
        <v>40</v>
      </c>
      <c r="F457" s="3">
        <v>43944</v>
      </c>
      <c r="G457" s="3">
        <v>44147</v>
      </c>
      <c r="H457" t="s">
        <v>1502</v>
      </c>
      <c r="I457" t="s">
        <v>33</v>
      </c>
      <c r="N457" s="3"/>
      <c r="O457" t="s">
        <v>71</v>
      </c>
      <c r="Q457" s="3"/>
      <c r="R457" s="3"/>
      <c r="S457" s="3"/>
      <c r="T457" t="s">
        <v>36</v>
      </c>
      <c r="V457" s="3"/>
      <c r="W457" s="3"/>
      <c r="X457" s="3"/>
      <c r="Y457" s="3"/>
      <c r="Z457" s="3"/>
      <c r="AA457" s="3"/>
      <c r="AB457" s="3"/>
    </row>
    <row r="458" spans="1:29" x14ac:dyDescent="0.3">
      <c r="A458" s="2" t="str">
        <f>HYPERLINK("https://www.cadth.ca/node/120051", "Lynparza")</f>
        <v>Lynparza</v>
      </c>
      <c r="B458" t="s">
        <v>1503</v>
      </c>
      <c r="D458" t="s">
        <v>577</v>
      </c>
      <c r="E458" t="s">
        <v>578</v>
      </c>
      <c r="F458" s="3"/>
      <c r="G458" s="3"/>
      <c r="H458" t="s">
        <v>391</v>
      </c>
      <c r="I458" t="s">
        <v>33</v>
      </c>
      <c r="K458" t="s">
        <v>177</v>
      </c>
      <c r="N458" s="3"/>
      <c r="O458" t="s">
        <v>1129</v>
      </c>
      <c r="Q458" s="3"/>
      <c r="R458" s="3"/>
      <c r="S458" s="3"/>
      <c r="V458" s="3"/>
      <c r="W458" s="3"/>
      <c r="X458" s="3"/>
      <c r="Y458" s="3"/>
      <c r="Z458" s="3"/>
      <c r="AA458" s="3"/>
      <c r="AB458" s="3"/>
      <c r="AC458" t="s">
        <v>1504</v>
      </c>
    </row>
    <row r="459" spans="1:29" x14ac:dyDescent="0.3">
      <c r="A459" s="2" t="str">
        <f>HYPERLINK("https://www.cadth.ca/node/114006", "Lynparza")</f>
        <v>Lynparza</v>
      </c>
      <c r="B459" t="s">
        <v>1503</v>
      </c>
      <c r="C459" t="s">
        <v>1505</v>
      </c>
      <c r="D459" t="s">
        <v>55</v>
      </c>
      <c r="E459" t="s">
        <v>40</v>
      </c>
      <c r="F459" s="3">
        <v>43573</v>
      </c>
      <c r="G459" s="3">
        <v>43804</v>
      </c>
      <c r="H459" t="s">
        <v>1506</v>
      </c>
      <c r="I459" t="s">
        <v>33</v>
      </c>
      <c r="J459" t="s">
        <v>1507</v>
      </c>
      <c r="K459" t="s">
        <v>311</v>
      </c>
      <c r="L459" t="s">
        <v>1508</v>
      </c>
      <c r="M459" t="s">
        <v>60</v>
      </c>
      <c r="N459" s="3">
        <v>43591</v>
      </c>
      <c r="O459" t="s">
        <v>1129</v>
      </c>
      <c r="P459" t="s">
        <v>1129</v>
      </c>
      <c r="Q459" s="3"/>
      <c r="R459" s="3"/>
      <c r="S459" s="3">
        <v>43588</v>
      </c>
      <c r="V459" s="3">
        <v>43588</v>
      </c>
      <c r="W459" s="3">
        <v>43649</v>
      </c>
      <c r="X459" s="3">
        <v>43727</v>
      </c>
      <c r="Y459" s="3">
        <v>43741</v>
      </c>
      <c r="Z459" s="3">
        <v>43756</v>
      </c>
      <c r="AA459" s="3"/>
      <c r="AB459" s="3">
        <v>43819</v>
      </c>
    </row>
    <row r="460" spans="1:29" x14ac:dyDescent="0.3">
      <c r="A460" s="2" t="str">
        <f>HYPERLINK("https://www.cadth.ca/node/93610", "Lynparza")</f>
        <v>Lynparza</v>
      </c>
      <c r="B460" t="s">
        <v>1503</v>
      </c>
      <c r="C460" t="s">
        <v>317</v>
      </c>
      <c r="D460" t="s">
        <v>127</v>
      </c>
      <c r="E460" t="s">
        <v>40</v>
      </c>
      <c r="F460" s="3">
        <v>42461</v>
      </c>
      <c r="G460" s="3">
        <v>42642</v>
      </c>
      <c r="H460" t="s">
        <v>1509</v>
      </c>
      <c r="I460" t="s">
        <v>33</v>
      </c>
      <c r="J460" t="s">
        <v>1510</v>
      </c>
      <c r="K460" t="s">
        <v>311</v>
      </c>
      <c r="L460" t="s">
        <v>1511</v>
      </c>
      <c r="M460" t="s">
        <v>60</v>
      </c>
      <c r="N460" s="3">
        <v>42489</v>
      </c>
      <c r="O460" t="s">
        <v>1512</v>
      </c>
      <c r="P460" t="s">
        <v>1512</v>
      </c>
      <c r="Q460" s="3"/>
      <c r="R460" s="3"/>
      <c r="S460" s="3">
        <v>42468</v>
      </c>
      <c r="U460" t="s">
        <v>99</v>
      </c>
      <c r="V460" s="3">
        <v>42475</v>
      </c>
      <c r="W460" s="3">
        <v>42508</v>
      </c>
      <c r="X460" s="3">
        <v>42572</v>
      </c>
      <c r="Y460" s="3">
        <v>42587</v>
      </c>
      <c r="Z460" s="3">
        <v>42601</v>
      </c>
      <c r="AA460" s="3"/>
      <c r="AB460" s="3">
        <v>42660</v>
      </c>
    </row>
    <row r="461" spans="1:29" x14ac:dyDescent="0.3">
      <c r="A461" s="2" t="str">
        <f>HYPERLINK("https://www.cadth.ca/node/122317", "Lynparza")</f>
        <v>Lynparza</v>
      </c>
      <c r="B461" t="s">
        <v>1503</v>
      </c>
      <c r="C461" t="s">
        <v>1513</v>
      </c>
      <c r="E461" t="s">
        <v>31</v>
      </c>
      <c r="F461" s="3">
        <v>44096</v>
      </c>
      <c r="G461" s="3">
        <v>44307</v>
      </c>
      <c r="H461" t="s">
        <v>1514</v>
      </c>
      <c r="I461" t="s">
        <v>33</v>
      </c>
      <c r="J461" t="s">
        <v>1507</v>
      </c>
      <c r="K461" t="s">
        <v>367</v>
      </c>
      <c r="L461" t="s">
        <v>1515</v>
      </c>
      <c r="N461" s="3">
        <v>44064</v>
      </c>
      <c r="O461" t="s">
        <v>465</v>
      </c>
      <c r="P461" t="s">
        <v>465</v>
      </c>
      <c r="Q461" s="3"/>
      <c r="R461" s="3"/>
      <c r="S461" s="3">
        <v>44110</v>
      </c>
      <c r="V461" s="3">
        <v>44110</v>
      </c>
      <c r="W461" s="3">
        <v>44167</v>
      </c>
      <c r="X461" s="3">
        <v>44273</v>
      </c>
      <c r="Y461" s="3">
        <v>44287</v>
      </c>
      <c r="Z461" s="3">
        <v>44302</v>
      </c>
      <c r="AA461" s="3"/>
      <c r="AB461" s="3">
        <v>44322</v>
      </c>
    </row>
    <row r="462" spans="1:29" x14ac:dyDescent="0.3">
      <c r="A462" s="2" t="str">
        <f>HYPERLINK("https://www.cadth.ca/node/100838", "Lynparza (Resubmission)")</f>
        <v>Lynparza (Resubmission)</v>
      </c>
      <c r="B462" t="s">
        <v>1503</v>
      </c>
      <c r="C462" t="s">
        <v>317</v>
      </c>
      <c r="D462" t="s">
        <v>55</v>
      </c>
      <c r="E462" t="s">
        <v>40</v>
      </c>
      <c r="F462" s="3">
        <v>42811</v>
      </c>
      <c r="G462" s="3">
        <v>42998</v>
      </c>
      <c r="H462" t="s">
        <v>1516</v>
      </c>
      <c r="I462" t="s">
        <v>33</v>
      </c>
      <c r="J462" t="s">
        <v>1517</v>
      </c>
      <c r="K462" t="s">
        <v>311</v>
      </c>
      <c r="L462" t="s">
        <v>1511</v>
      </c>
      <c r="N462" s="3">
        <v>42489</v>
      </c>
      <c r="O462" t="s">
        <v>465</v>
      </c>
      <c r="P462" t="s">
        <v>465</v>
      </c>
      <c r="Q462" s="3"/>
      <c r="R462" s="3"/>
      <c r="S462" s="3">
        <v>42825</v>
      </c>
      <c r="U462" t="s">
        <v>99</v>
      </c>
      <c r="V462" s="3">
        <v>42825</v>
      </c>
      <c r="W462" s="3">
        <v>42870</v>
      </c>
      <c r="X462" s="3">
        <v>42964</v>
      </c>
      <c r="Y462" s="3">
        <v>42978</v>
      </c>
      <c r="Z462" s="3">
        <v>42993</v>
      </c>
      <c r="AA462" s="3"/>
      <c r="AB462" s="3">
        <v>43013</v>
      </c>
    </row>
    <row r="463" spans="1:29" x14ac:dyDescent="0.3">
      <c r="A463" s="2" t="str">
        <f>HYPERLINK("https://www.cadth.ca/pregabalin", "Lyrica")</f>
        <v>Lyrica</v>
      </c>
      <c r="B463" t="s">
        <v>1518</v>
      </c>
      <c r="C463" t="s">
        <v>1519</v>
      </c>
      <c r="D463" t="s">
        <v>39</v>
      </c>
      <c r="E463" t="s">
        <v>40</v>
      </c>
      <c r="F463" s="3">
        <v>38530</v>
      </c>
      <c r="G463" s="3">
        <v>38742</v>
      </c>
      <c r="H463" t="s">
        <v>1520</v>
      </c>
      <c r="I463" t="s">
        <v>33</v>
      </c>
      <c r="N463" s="3"/>
      <c r="O463" t="s">
        <v>387</v>
      </c>
      <c r="Q463" s="3"/>
      <c r="R463" s="3"/>
      <c r="S463" s="3"/>
      <c r="T463" t="s">
        <v>36</v>
      </c>
      <c r="V463" s="3"/>
      <c r="W463" s="3"/>
      <c r="X463" s="3"/>
      <c r="Y463" s="3"/>
      <c r="Z463" s="3"/>
      <c r="AA463" s="3"/>
      <c r="AB463" s="3"/>
    </row>
    <row r="464" spans="1:29" x14ac:dyDescent="0.3">
      <c r="A464" s="2" t="str">
        <f>HYPERLINK("https://www.cadth.ca/pregabalin-0", "Lyrica")</f>
        <v>Lyrica</v>
      </c>
      <c r="B464" t="s">
        <v>1518</v>
      </c>
      <c r="C464" t="s">
        <v>1521</v>
      </c>
      <c r="D464" t="s">
        <v>39</v>
      </c>
      <c r="E464" t="s">
        <v>40</v>
      </c>
      <c r="F464" s="3">
        <v>39892</v>
      </c>
      <c r="G464" s="3">
        <v>40079</v>
      </c>
      <c r="H464" t="s">
        <v>1522</v>
      </c>
      <c r="I464" t="s">
        <v>33</v>
      </c>
      <c r="N464" s="3"/>
      <c r="O464" t="s">
        <v>387</v>
      </c>
      <c r="Q464" s="3"/>
      <c r="R464" s="3"/>
      <c r="S464" s="3"/>
      <c r="T464" t="s">
        <v>142</v>
      </c>
      <c r="V464" s="3"/>
      <c r="W464" s="3"/>
      <c r="X464" s="3"/>
      <c r="Y464" s="3"/>
      <c r="Z464" s="3"/>
      <c r="AA464" s="3"/>
      <c r="AB464" s="3"/>
    </row>
    <row r="465" spans="1:28" x14ac:dyDescent="0.3">
      <c r="A465" s="2" t="str">
        <f>HYPERLINK("https://www.cadth.ca/pegaptanib-sodium", "Macugen")</f>
        <v>Macugen</v>
      </c>
      <c r="B465" t="s">
        <v>1523</v>
      </c>
      <c r="C465" t="s">
        <v>380</v>
      </c>
      <c r="D465" t="s">
        <v>39</v>
      </c>
      <c r="E465" t="s">
        <v>40</v>
      </c>
      <c r="F465" s="3">
        <v>38645</v>
      </c>
      <c r="G465" s="3">
        <v>38862</v>
      </c>
      <c r="H465" t="s">
        <v>1524</v>
      </c>
      <c r="I465" t="s">
        <v>33</v>
      </c>
      <c r="N465" s="3"/>
      <c r="O465" t="s">
        <v>387</v>
      </c>
      <c r="Q465" s="3"/>
      <c r="R465" s="3"/>
      <c r="S465" s="3"/>
      <c r="T465" t="s">
        <v>36</v>
      </c>
      <c r="V465" s="3"/>
      <c r="W465" s="3"/>
      <c r="X465" s="3"/>
      <c r="Y465" s="3"/>
      <c r="Z465" s="3"/>
      <c r="AA465" s="3"/>
      <c r="AB465" s="3"/>
    </row>
    <row r="466" spans="1:28" x14ac:dyDescent="0.3">
      <c r="A466" s="2" t="str">
        <f>HYPERLINK("https://www.cadth.ca/trientine-hydrochloride", "MAR-Trientine")</f>
        <v>MAR-Trientine</v>
      </c>
      <c r="B466" t="s">
        <v>1525</v>
      </c>
      <c r="C466" t="s">
        <v>1526</v>
      </c>
      <c r="E466" t="s">
        <v>31</v>
      </c>
      <c r="F466" s="3">
        <v>44305</v>
      </c>
      <c r="G466" s="3"/>
      <c r="H466" t="s">
        <v>1527</v>
      </c>
      <c r="I466" t="s">
        <v>33</v>
      </c>
      <c r="N466" s="3"/>
      <c r="O466" t="s">
        <v>1528</v>
      </c>
      <c r="Q466" s="3"/>
      <c r="R466" s="3"/>
      <c r="S466" s="3"/>
      <c r="T466" t="s">
        <v>36</v>
      </c>
      <c r="V466" s="3"/>
      <c r="W466" s="3"/>
      <c r="X466" s="3"/>
      <c r="Y466" s="3"/>
      <c r="Z466" s="3"/>
      <c r="AA466" s="3"/>
      <c r="AB466" s="3"/>
    </row>
    <row r="467" spans="1:28" x14ac:dyDescent="0.3">
      <c r="A467" s="2" t="str">
        <f>HYPERLINK("https://www.cadth.ca/trientine-hydrochloride-1", "MAR-Trientine")</f>
        <v>MAR-Trientine</v>
      </c>
      <c r="B467" t="s">
        <v>1525</v>
      </c>
      <c r="C467" t="s">
        <v>1526</v>
      </c>
      <c r="E467" t="s">
        <v>31</v>
      </c>
      <c r="F467" s="3">
        <v>44305</v>
      </c>
      <c r="G467" s="3"/>
      <c r="H467" t="s">
        <v>1527</v>
      </c>
      <c r="I467" t="s">
        <v>33</v>
      </c>
      <c r="N467" s="3"/>
      <c r="O467" t="s">
        <v>1528</v>
      </c>
      <c r="Q467" s="3"/>
      <c r="R467" s="3"/>
      <c r="S467" s="3"/>
      <c r="T467" t="s">
        <v>36</v>
      </c>
      <c r="V467" s="3"/>
      <c r="W467" s="3"/>
      <c r="X467" s="3"/>
      <c r="Y467" s="3"/>
      <c r="Z467" s="3"/>
      <c r="AA467" s="3"/>
      <c r="AB467" s="3"/>
    </row>
    <row r="468" spans="1:28" x14ac:dyDescent="0.3">
      <c r="A468" s="2" t="str">
        <f>HYPERLINK("https://www.cadth.ca/cladribine", "Mavenclad")</f>
        <v>Mavenclad</v>
      </c>
      <c r="B468" t="s">
        <v>1529</v>
      </c>
      <c r="C468" t="s">
        <v>988</v>
      </c>
      <c r="D468" t="s">
        <v>55</v>
      </c>
      <c r="E468" t="s">
        <v>40</v>
      </c>
      <c r="F468" s="3">
        <v>43070</v>
      </c>
      <c r="G468" s="3">
        <v>43397</v>
      </c>
      <c r="H468" t="s">
        <v>1530</v>
      </c>
      <c r="I468" t="s">
        <v>33</v>
      </c>
      <c r="N468" s="3"/>
      <c r="O468" t="s">
        <v>1531</v>
      </c>
      <c r="Q468" s="3"/>
      <c r="R468" s="3"/>
      <c r="S468" s="3"/>
      <c r="T468" t="s">
        <v>36</v>
      </c>
      <c r="V468" s="3"/>
      <c r="W468" s="3"/>
      <c r="X468" s="3"/>
      <c r="Y468" s="3"/>
      <c r="Z468" s="3"/>
      <c r="AA468" s="3"/>
      <c r="AB468" s="3"/>
    </row>
    <row r="469" spans="1:28" x14ac:dyDescent="0.3">
      <c r="A469" s="2" t="str">
        <f>HYPERLINK("https://www.cadth.ca/glecaprevir-pibrentasvir", "Maviret")</f>
        <v>Maviret</v>
      </c>
      <c r="B469" t="s">
        <v>1532</v>
      </c>
      <c r="C469" t="s">
        <v>825</v>
      </c>
      <c r="D469" t="s">
        <v>55</v>
      </c>
      <c r="E469" t="s">
        <v>40</v>
      </c>
      <c r="F469" s="3">
        <v>42895</v>
      </c>
      <c r="G469" s="3">
        <v>43123</v>
      </c>
      <c r="H469" t="s">
        <v>1533</v>
      </c>
      <c r="I469" t="s">
        <v>33</v>
      </c>
      <c r="N469" s="3"/>
      <c r="O469" t="s">
        <v>725</v>
      </c>
      <c r="Q469" s="3"/>
      <c r="R469" s="3"/>
      <c r="S469" s="3"/>
      <c r="T469" t="s">
        <v>36</v>
      </c>
      <c r="V469" s="3"/>
      <c r="W469" s="3"/>
      <c r="X469" s="3"/>
      <c r="Y469" s="3"/>
      <c r="Z469" s="3"/>
      <c r="AA469" s="3"/>
      <c r="AB469" s="3"/>
    </row>
    <row r="470" spans="1:28" x14ac:dyDescent="0.3">
      <c r="A470" s="2" t="str">
        <f>HYPERLINK("https://www.cadth.ca/siponimod", "Mayzent")</f>
        <v>Mayzent</v>
      </c>
      <c r="B470" t="s">
        <v>1534</v>
      </c>
      <c r="C470" t="s">
        <v>1535</v>
      </c>
      <c r="D470" t="s">
        <v>55</v>
      </c>
      <c r="E470" t="s">
        <v>40</v>
      </c>
      <c r="F470" s="3">
        <v>43734</v>
      </c>
      <c r="G470" s="3">
        <v>44033</v>
      </c>
      <c r="H470" t="s">
        <v>1536</v>
      </c>
      <c r="I470" t="s">
        <v>33</v>
      </c>
      <c r="N470" s="3"/>
      <c r="O470" t="s">
        <v>71</v>
      </c>
      <c r="Q470" s="3"/>
      <c r="R470" s="3"/>
      <c r="S470" s="3"/>
      <c r="T470" t="s">
        <v>36</v>
      </c>
      <c r="V470" s="3"/>
      <c r="W470" s="3"/>
      <c r="X470" s="3"/>
      <c r="Y470" s="3"/>
      <c r="Z470" s="3"/>
      <c r="AA470" s="3"/>
      <c r="AB470" s="3"/>
    </row>
    <row r="471" spans="1:28" x14ac:dyDescent="0.3">
      <c r="A471" s="2" t="str">
        <f>HYPERLINK("https://www.cadth.ca/nitisinone-0", "MDK-Nitisinone")</f>
        <v>MDK-Nitisinone</v>
      </c>
      <c r="B471" t="s">
        <v>1537</v>
      </c>
      <c r="C471" t="s">
        <v>1538</v>
      </c>
      <c r="D471" t="s">
        <v>55</v>
      </c>
      <c r="E471" t="s">
        <v>40</v>
      </c>
      <c r="F471" s="3">
        <v>43007</v>
      </c>
      <c r="G471" s="3">
        <v>43215</v>
      </c>
      <c r="H471" t="s">
        <v>1539</v>
      </c>
      <c r="I471" t="s">
        <v>33</v>
      </c>
      <c r="N471" s="3"/>
      <c r="O471" t="s">
        <v>1540</v>
      </c>
      <c r="Q471" s="3"/>
      <c r="R471" s="3"/>
      <c r="S471" s="3"/>
      <c r="T471" t="s">
        <v>36</v>
      </c>
      <c r="V471" s="3"/>
      <c r="W471" s="3"/>
      <c r="X471" s="3"/>
      <c r="Y471" s="3"/>
      <c r="Z471" s="3"/>
      <c r="AA471" s="3"/>
      <c r="AB471" s="3"/>
    </row>
    <row r="472" spans="1:28" x14ac:dyDescent="0.3">
      <c r="A472" s="2" t="str">
        <f>HYPERLINK("https://www.cadth.ca/node/79660", "Mekinist")</f>
        <v>Mekinist</v>
      </c>
      <c r="B472" t="s">
        <v>1541</v>
      </c>
      <c r="C472" t="s">
        <v>1313</v>
      </c>
      <c r="D472" t="s">
        <v>55</v>
      </c>
      <c r="E472" t="s">
        <v>40</v>
      </c>
      <c r="F472" s="3">
        <v>41400</v>
      </c>
      <c r="G472" s="3">
        <v>41569</v>
      </c>
      <c r="H472" t="s">
        <v>1542</v>
      </c>
      <c r="I472" t="s">
        <v>33</v>
      </c>
      <c r="J472" t="s">
        <v>1543</v>
      </c>
      <c r="K472" t="s">
        <v>616</v>
      </c>
      <c r="L472" t="s">
        <v>1544</v>
      </c>
      <c r="M472" t="s">
        <v>60</v>
      </c>
      <c r="N472" s="3">
        <v>41473</v>
      </c>
      <c r="O472" t="s">
        <v>455</v>
      </c>
      <c r="P472" t="s">
        <v>455</v>
      </c>
      <c r="Q472" s="3"/>
      <c r="R472" s="3"/>
      <c r="S472" s="3">
        <v>41408</v>
      </c>
      <c r="U472" t="s">
        <v>62</v>
      </c>
      <c r="V472" s="3">
        <v>41415</v>
      </c>
      <c r="W472" s="3">
        <v>41485</v>
      </c>
      <c r="X472" s="3">
        <v>41536</v>
      </c>
      <c r="Y472" s="3">
        <v>41550</v>
      </c>
      <c r="Z472" s="3">
        <v>41565</v>
      </c>
      <c r="AA472" s="3"/>
      <c r="AB472" s="3">
        <v>41584</v>
      </c>
    </row>
    <row r="473" spans="1:28" x14ac:dyDescent="0.3">
      <c r="A473" s="2" t="str">
        <f>HYPERLINK("https://www.cadth.ca/propiverine-hydrochloride", "Mictoryl")</f>
        <v>Mictoryl</v>
      </c>
      <c r="B473" t="s">
        <v>1545</v>
      </c>
      <c r="C473" t="s">
        <v>1546</v>
      </c>
      <c r="D473" t="s">
        <v>55</v>
      </c>
      <c r="E473" t="s">
        <v>40</v>
      </c>
      <c r="F473" s="3">
        <v>42657</v>
      </c>
      <c r="G473" s="3">
        <v>42844</v>
      </c>
      <c r="H473" t="s">
        <v>1547</v>
      </c>
      <c r="I473" t="s">
        <v>33</v>
      </c>
      <c r="N473" s="3"/>
      <c r="O473" t="s">
        <v>1548</v>
      </c>
      <c r="Q473" s="3"/>
      <c r="R473" s="3"/>
      <c r="S473" s="3"/>
      <c r="T473" t="s">
        <v>36</v>
      </c>
      <c r="V473" s="3"/>
      <c r="W473" s="3"/>
      <c r="X473" s="3"/>
      <c r="Y473" s="3"/>
      <c r="Z473" s="3"/>
      <c r="AA473" s="3"/>
      <c r="AB473" s="3"/>
    </row>
    <row r="474" spans="1:28" x14ac:dyDescent="0.3">
      <c r="A474" s="2" t="str">
        <f>HYPERLINK("https://www.cadth.ca/mifepristone-and-misoprostol-0", "Mifegymiso")</f>
        <v>Mifegymiso</v>
      </c>
      <c r="B474" t="s">
        <v>1549</v>
      </c>
      <c r="C474" t="s">
        <v>1550</v>
      </c>
      <c r="D474" t="s">
        <v>109</v>
      </c>
      <c r="E474" t="s">
        <v>40</v>
      </c>
      <c r="F474" s="3">
        <v>42650</v>
      </c>
      <c r="G474" s="3">
        <v>42843</v>
      </c>
      <c r="H474" t="s">
        <v>1551</v>
      </c>
      <c r="I474" t="s">
        <v>33</v>
      </c>
      <c r="N474" s="3"/>
      <c r="O474" t="s">
        <v>1552</v>
      </c>
      <c r="Q474" s="3"/>
      <c r="R474" s="3"/>
      <c r="S474" s="3"/>
      <c r="T474" t="s">
        <v>36</v>
      </c>
      <c r="V474" s="3"/>
      <c r="W474" s="3"/>
      <c r="X474" s="3"/>
      <c r="Y474" s="3"/>
      <c r="Z474" s="3"/>
      <c r="AA474" s="3"/>
      <c r="AB474" s="3"/>
    </row>
    <row r="475" spans="1:28" x14ac:dyDescent="0.3">
      <c r="A475" s="2" t="str">
        <f>HYPERLINK("https://www.cadth.ca/mifepristone-and-misoprostol", "Mifegymiso")</f>
        <v>Mifegymiso</v>
      </c>
      <c r="B475" t="s">
        <v>1549</v>
      </c>
      <c r="C475" t="s">
        <v>1550</v>
      </c>
      <c r="E475" t="s">
        <v>113</v>
      </c>
      <c r="F475" s="3">
        <v>42412</v>
      </c>
      <c r="G475" s="3"/>
      <c r="H475" t="s">
        <v>1553</v>
      </c>
      <c r="I475" t="s">
        <v>33</v>
      </c>
      <c r="N475" s="3"/>
      <c r="O475" t="s">
        <v>1552</v>
      </c>
      <c r="Q475" s="3"/>
      <c r="R475" s="3"/>
      <c r="S475" s="3"/>
      <c r="T475" t="s">
        <v>36</v>
      </c>
      <c r="V475" s="3"/>
      <c r="W475" s="3"/>
      <c r="X475" s="3"/>
      <c r="Y475" s="3"/>
      <c r="Z475" s="3"/>
      <c r="AA475" s="3"/>
      <c r="AB475" s="3"/>
    </row>
    <row r="476" spans="1:28" x14ac:dyDescent="0.3">
      <c r="A476" s="2" t="str">
        <f>HYPERLINK("https://www.cadth.ca/iron-iii-isomaltoside-1000", "Monoferric")</f>
        <v>Monoferric</v>
      </c>
      <c r="B476" t="s">
        <v>1554</v>
      </c>
      <c r="C476" t="s">
        <v>1555</v>
      </c>
      <c r="D476" t="s">
        <v>55</v>
      </c>
      <c r="E476" t="s">
        <v>40</v>
      </c>
      <c r="F476" s="3">
        <v>43642</v>
      </c>
      <c r="G476" s="3">
        <v>43915</v>
      </c>
      <c r="H476" t="s">
        <v>1556</v>
      </c>
      <c r="I476" t="s">
        <v>33</v>
      </c>
      <c r="N476" s="3"/>
      <c r="O476" t="s">
        <v>1557</v>
      </c>
      <c r="Q476" s="3"/>
      <c r="R476" s="3"/>
      <c r="S476" s="3"/>
      <c r="T476" t="s">
        <v>36</v>
      </c>
      <c r="V476" s="3"/>
      <c r="W476" s="3"/>
      <c r="X476" s="3"/>
      <c r="Y476" s="3"/>
      <c r="Z476" s="3"/>
      <c r="AA476" s="3"/>
      <c r="AB476" s="3"/>
    </row>
    <row r="477" spans="1:28" x14ac:dyDescent="0.3">
      <c r="A477" s="2" t="str">
        <f>HYPERLINK("https://www.cadth.ca/latanoprost", "Monoprost")</f>
        <v>Monoprost</v>
      </c>
      <c r="B477" t="s">
        <v>1558</v>
      </c>
      <c r="C477" t="s">
        <v>1559</v>
      </c>
      <c r="D477" t="s">
        <v>55</v>
      </c>
      <c r="E477" t="s">
        <v>40</v>
      </c>
      <c r="F477" s="3">
        <v>43033</v>
      </c>
      <c r="G477" s="3">
        <v>43214</v>
      </c>
      <c r="H477" t="s">
        <v>1560</v>
      </c>
      <c r="I477" t="s">
        <v>33</v>
      </c>
      <c r="N477" s="3"/>
      <c r="O477" t="s">
        <v>1561</v>
      </c>
      <c r="Q477" s="3"/>
      <c r="R477" s="3"/>
      <c r="S477" s="3"/>
      <c r="T477" t="s">
        <v>36</v>
      </c>
      <c r="V477" s="3"/>
      <c r="W477" s="3"/>
      <c r="X477" s="3"/>
      <c r="Y477" s="3"/>
      <c r="Z477" s="3"/>
      <c r="AA477" s="3"/>
      <c r="AB477" s="3"/>
    </row>
    <row r="478" spans="1:28" x14ac:dyDescent="0.3">
      <c r="A478" s="2" t="str">
        <f>HYPERLINK("https://www.cadth.ca/apomorphine", "Movapo")</f>
        <v>Movapo</v>
      </c>
      <c r="B478" t="s">
        <v>1370</v>
      </c>
      <c r="C478" t="s">
        <v>340</v>
      </c>
      <c r="D478" t="s">
        <v>55</v>
      </c>
      <c r="E478" t="s">
        <v>40</v>
      </c>
      <c r="F478" s="3">
        <v>42922</v>
      </c>
      <c r="G478" s="3">
        <v>43123</v>
      </c>
      <c r="H478" t="s">
        <v>1562</v>
      </c>
      <c r="I478" t="s">
        <v>33</v>
      </c>
      <c r="N478" s="3"/>
      <c r="O478" t="s">
        <v>67</v>
      </c>
      <c r="Q478" s="3"/>
      <c r="R478" s="3"/>
      <c r="S478" s="3"/>
      <c r="T478" t="s">
        <v>36</v>
      </c>
      <c r="V478" s="3"/>
      <c r="W478" s="3"/>
      <c r="X478" s="3"/>
      <c r="Y478" s="3"/>
      <c r="Z478" s="3"/>
      <c r="AA478" s="3"/>
      <c r="AB478" s="3"/>
    </row>
    <row r="479" spans="1:28" x14ac:dyDescent="0.3">
      <c r="A479" s="2" t="str">
        <f>HYPERLINK("https://www.cadth.ca/plerixafor", "Mozobil")</f>
        <v>Mozobil</v>
      </c>
      <c r="B479" t="s">
        <v>1563</v>
      </c>
      <c r="C479" t="s">
        <v>1564</v>
      </c>
      <c r="D479" t="s">
        <v>39</v>
      </c>
      <c r="E479" t="s">
        <v>40</v>
      </c>
      <c r="F479" s="3">
        <v>40932</v>
      </c>
      <c r="G479" s="3">
        <v>41178</v>
      </c>
      <c r="H479" t="s">
        <v>1565</v>
      </c>
      <c r="I479" t="s">
        <v>33</v>
      </c>
      <c r="N479" s="3"/>
      <c r="O479" t="s">
        <v>1566</v>
      </c>
      <c r="Q479" s="3"/>
      <c r="R479" s="3"/>
      <c r="S479" s="3"/>
      <c r="T479" t="s">
        <v>36</v>
      </c>
      <c r="V479" s="3"/>
      <c r="W479" s="3"/>
      <c r="X479" s="3"/>
      <c r="Y479" s="3"/>
      <c r="Z479" s="3"/>
      <c r="AA479" s="3"/>
      <c r="AB479" s="3"/>
    </row>
    <row r="480" spans="1:28" x14ac:dyDescent="0.3">
      <c r="A480" s="2" t="str">
        <f>HYPERLINK("https://www.cadth.ca/dronedarone-hydrochloride", "Multaq")</f>
        <v>Multaq</v>
      </c>
      <c r="B480" t="s">
        <v>1567</v>
      </c>
      <c r="C480" t="s">
        <v>1568</v>
      </c>
      <c r="D480" t="s">
        <v>39</v>
      </c>
      <c r="E480" t="s">
        <v>40</v>
      </c>
      <c r="F480" s="3">
        <v>40074</v>
      </c>
      <c r="G480" s="3">
        <v>40325</v>
      </c>
      <c r="H480" t="s">
        <v>1569</v>
      </c>
      <c r="I480" t="s">
        <v>33</v>
      </c>
      <c r="N480" s="3"/>
      <c r="O480" t="s">
        <v>233</v>
      </c>
      <c r="Q480" s="3"/>
      <c r="R480" s="3"/>
      <c r="S480" s="3"/>
      <c r="T480" t="s">
        <v>36</v>
      </c>
      <c r="V480" s="3"/>
      <c r="W480" s="3"/>
      <c r="X480" s="3"/>
      <c r="Y480" s="3"/>
      <c r="Z480" s="3"/>
      <c r="AA480" s="3"/>
      <c r="AB480" s="3"/>
    </row>
    <row r="481" spans="1:29" x14ac:dyDescent="0.3">
      <c r="A481" s="2" t="str">
        <f>HYPERLINK("https://www.cadth.ca/node/110778", "Mvasi")</f>
        <v>Mvasi</v>
      </c>
      <c r="B481" t="s">
        <v>307</v>
      </c>
      <c r="C481" t="s">
        <v>1570</v>
      </c>
      <c r="D481" t="s">
        <v>1571</v>
      </c>
      <c r="E481" t="s">
        <v>40</v>
      </c>
      <c r="F481" s="3">
        <v>43376</v>
      </c>
      <c r="G481" s="3"/>
      <c r="H481" t="s">
        <v>1572</v>
      </c>
      <c r="I481" t="s">
        <v>33</v>
      </c>
      <c r="J481" t="s">
        <v>1573</v>
      </c>
      <c r="K481" t="s">
        <v>1574</v>
      </c>
      <c r="L481" t="s">
        <v>1575</v>
      </c>
      <c r="N481" s="3">
        <v>43220</v>
      </c>
      <c r="O481" t="s">
        <v>407</v>
      </c>
      <c r="P481" t="s">
        <v>407</v>
      </c>
      <c r="Q481" s="3"/>
      <c r="R481" s="3"/>
      <c r="S481" s="3">
        <v>43391</v>
      </c>
      <c r="V481" s="3">
        <v>43391</v>
      </c>
      <c r="W481" s="3"/>
      <c r="X481" s="3"/>
      <c r="Y481" s="3"/>
      <c r="Z481" s="3"/>
      <c r="AA481" s="3"/>
      <c r="AB481" s="3"/>
    </row>
    <row r="482" spans="1:29" x14ac:dyDescent="0.3">
      <c r="A482" s="2" t="str">
        <f>HYPERLINK("https://www.cadth.ca/mycophenolate-sodium", "Myfortic")</f>
        <v>Myfortic</v>
      </c>
      <c r="B482" t="s">
        <v>1576</v>
      </c>
      <c r="C482" t="s">
        <v>1577</v>
      </c>
      <c r="D482" t="s">
        <v>262</v>
      </c>
      <c r="E482" t="s">
        <v>40</v>
      </c>
      <c r="F482" s="3">
        <v>38414</v>
      </c>
      <c r="G482" s="3">
        <v>38541</v>
      </c>
      <c r="H482" t="s">
        <v>1578</v>
      </c>
      <c r="I482" t="s">
        <v>33</v>
      </c>
      <c r="N482" s="3"/>
      <c r="O482" t="s">
        <v>71</v>
      </c>
      <c r="Q482" s="3"/>
      <c r="R482" s="3"/>
      <c r="S482" s="3"/>
      <c r="T482" t="s">
        <v>36</v>
      </c>
      <c r="V482" s="3"/>
      <c r="W482" s="3"/>
      <c r="X482" s="3"/>
      <c r="Y482" s="3"/>
      <c r="Z482" s="3"/>
      <c r="AA482" s="3"/>
      <c r="AB482" s="3"/>
    </row>
    <row r="483" spans="1:29" x14ac:dyDescent="0.3">
      <c r="A483" s="2" t="str">
        <f>HYPERLINK("https://www.cadth.ca/colchicine", "Myinfla")</f>
        <v>Myinfla</v>
      </c>
      <c r="B483" t="s">
        <v>1579</v>
      </c>
      <c r="C483" t="s">
        <v>1580</v>
      </c>
      <c r="E483" t="s">
        <v>31</v>
      </c>
      <c r="F483" s="3">
        <v>44344</v>
      </c>
      <c r="G483" s="3"/>
      <c r="H483" t="s">
        <v>1581</v>
      </c>
      <c r="I483" t="s">
        <v>33</v>
      </c>
      <c r="N483" s="3"/>
      <c r="O483" t="s">
        <v>1582</v>
      </c>
      <c r="Q483" s="3"/>
      <c r="R483" s="3"/>
      <c r="S483" s="3"/>
      <c r="T483" t="s">
        <v>36</v>
      </c>
      <c r="V483" s="3"/>
      <c r="W483" s="3"/>
      <c r="X483" s="3"/>
      <c r="Y483" s="3"/>
      <c r="Z483" s="3"/>
      <c r="AA483" s="3"/>
      <c r="AB483" s="3"/>
    </row>
    <row r="484" spans="1:29" x14ac:dyDescent="0.3">
      <c r="A484" s="2" t="str">
        <f>HYPERLINK("https://www.cadth.ca/node/116311", "Mylotarg")</f>
        <v>Mylotarg</v>
      </c>
      <c r="B484" t="s">
        <v>1583</v>
      </c>
      <c r="C484" t="s">
        <v>683</v>
      </c>
      <c r="D484" t="s">
        <v>109</v>
      </c>
      <c r="E484" t="s">
        <v>40</v>
      </c>
      <c r="F484" s="3">
        <v>43686</v>
      </c>
      <c r="G484" s="3">
        <v>43923</v>
      </c>
      <c r="H484" t="s">
        <v>1584</v>
      </c>
      <c r="I484" t="s">
        <v>33</v>
      </c>
      <c r="J484" t="s">
        <v>1585</v>
      </c>
      <c r="K484" t="s">
        <v>284</v>
      </c>
      <c r="L484" t="s">
        <v>1586</v>
      </c>
      <c r="M484" t="s">
        <v>60</v>
      </c>
      <c r="N484" s="3">
        <v>43797</v>
      </c>
      <c r="O484" t="s">
        <v>445</v>
      </c>
      <c r="P484" t="s">
        <v>445</v>
      </c>
      <c r="Q484" s="3"/>
      <c r="R484" s="3"/>
      <c r="S484" s="3">
        <v>43700</v>
      </c>
      <c r="V484" s="3">
        <v>43700</v>
      </c>
      <c r="W484" s="3">
        <v>43767</v>
      </c>
      <c r="X484" s="3">
        <v>43846</v>
      </c>
      <c r="Y484" s="3">
        <v>43860</v>
      </c>
      <c r="Z484" s="3">
        <v>43874</v>
      </c>
      <c r="AA484" s="3"/>
      <c r="AB484" s="3">
        <v>43941</v>
      </c>
    </row>
    <row r="485" spans="1:29" x14ac:dyDescent="0.3">
      <c r="A485" s="2" t="str">
        <f>HYPERLINK("https://www.cadth.ca/alglucosidase", "Myozyme")</f>
        <v>Myozyme</v>
      </c>
      <c r="B485" t="s">
        <v>1587</v>
      </c>
      <c r="C485" t="s">
        <v>1588</v>
      </c>
      <c r="D485" t="s">
        <v>46</v>
      </c>
      <c r="E485" t="s">
        <v>40</v>
      </c>
      <c r="F485" s="3">
        <v>39000</v>
      </c>
      <c r="G485" s="3">
        <v>39247</v>
      </c>
      <c r="H485" t="s">
        <v>1589</v>
      </c>
      <c r="I485" t="s">
        <v>33</v>
      </c>
      <c r="N485" s="3"/>
      <c r="O485" t="s">
        <v>1566</v>
      </c>
      <c r="Q485" s="3"/>
      <c r="R485" s="3"/>
      <c r="S485" s="3"/>
      <c r="T485" t="s">
        <v>36</v>
      </c>
      <c r="V485" s="3"/>
      <c r="W485" s="3"/>
      <c r="X485" s="3"/>
      <c r="Y485" s="3"/>
      <c r="Z485" s="3"/>
      <c r="AA485" s="3"/>
      <c r="AB485" s="3"/>
    </row>
    <row r="486" spans="1:29" x14ac:dyDescent="0.3">
      <c r="A486" s="2" t="str">
        <f>HYPERLINK("https://www.cadth.ca/mirabegron", "Myrbetriq")</f>
        <v>Myrbetriq</v>
      </c>
      <c r="B486" t="s">
        <v>1590</v>
      </c>
      <c r="C486" t="s">
        <v>975</v>
      </c>
      <c r="E486" t="s">
        <v>113</v>
      </c>
      <c r="F486" s="3">
        <v>41341</v>
      </c>
      <c r="G486" s="3"/>
      <c r="H486" t="s">
        <v>1591</v>
      </c>
      <c r="I486" t="s">
        <v>33</v>
      </c>
      <c r="N486" s="3"/>
      <c r="O486" t="s">
        <v>1592</v>
      </c>
      <c r="Q486" s="3"/>
      <c r="R486" s="3"/>
      <c r="S486" s="3"/>
      <c r="T486" t="s">
        <v>36</v>
      </c>
      <c r="V486" s="3"/>
      <c r="W486" s="3"/>
      <c r="X486" s="3"/>
      <c r="Y486" s="3"/>
      <c r="Z486" s="3"/>
      <c r="AA486" s="3"/>
      <c r="AB486" s="3"/>
    </row>
    <row r="487" spans="1:29" x14ac:dyDescent="0.3">
      <c r="A487" s="2" t="str">
        <f>HYPERLINK("https://www.cadth.ca/mirabegron-0", "Myrbetriq")</f>
        <v>Myrbetriq</v>
      </c>
      <c r="B487" t="s">
        <v>1590</v>
      </c>
      <c r="C487" t="s">
        <v>975</v>
      </c>
      <c r="D487" t="s">
        <v>50</v>
      </c>
      <c r="E487" t="s">
        <v>40</v>
      </c>
      <c r="F487" s="3">
        <v>41605</v>
      </c>
      <c r="G487" s="3">
        <v>41955</v>
      </c>
      <c r="H487" t="s">
        <v>1593</v>
      </c>
      <c r="I487" t="s">
        <v>33</v>
      </c>
      <c r="N487" s="3"/>
      <c r="O487" t="s">
        <v>1594</v>
      </c>
      <c r="Q487" s="3"/>
      <c r="R487" s="3"/>
      <c r="S487" s="3"/>
      <c r="T487" t="s">
        <v>36</v>
      </c>
      <c r="V487" s="3"/>
      <c r="W487" s="3"/>
      <c r="X487" s="3"/>
      <c r="Y487" s="3"/>
      <c r="Z487" s="3"/>
      <c r="AA487" s="3"/>
      <c r="AB487" s="3"/>
    </row>
    <row r="488" spans="1:29" x14ac:dyDescent="0.3">
      <c r="A488" s="2" t="str">
        <f>HYPERLINK("https://www.cadth.ca/galsulfase-drug-plan-submission", "Naglazyme")</f>
        <v>Naglazyme</v>
      </c>
      <c r="B488" t="s">
        <v>1595</v>
      </c>
      <c r="C488" t="s">
        <v>1596</v>
      </c>
      <c r="D488" t="s">
        <v>46</v>
      </c>
      <c r="E488" t="s">
        <v>40</v>
      </c>
      <c r="F488" s="3">
        <v>42236</v>
      </c>
      <c r="G488" s="3">
        <v>42419</v>
      </c>
      <c r="H488" t="s">
        <v>1597</v>
      </c>
      <c r="I488" t="s">
        <v>33</v>
      </c>
      <c r="N488" s="3"/>
      <c r="O488" t="s">
        <v>1365</v>
      </c>
      <c r="Q488" s="3"/>
      <c r="R488" s="3"/>
      <c r="S488" s="3"/>
      <c r="T488" t="s">
        <v>726</v>
      </c>
      <c r="V488" s="3"/>
      <c r="W488" s="3"/>
      <c r="X488" s="3"/>
      <c r="Y488" s="3"/>
      <c r="Z488" s="3"/>
      <c r="AA488" s="3"/>
      <c r="AB488" s="3"/>
    </row>
    <row r="489" spans="1:29" x14ac:dyDescent="0.3">
      <c r="A489" s="2" t="str">
        <f>HYPERLINK("https://www.cadth.ca/node/113998", "Nerlynx")</f>
        <v>Nerlynx</v>
      </c>
      <c r="B489" t="s">
        <v>1598</v>
      </c>
      <c r="C489" t="s">
        <v>1599</v>
      </c>
      <c r="D489" t="s">
        <v>127</v>
      </c>
      <c r="E489" t="s">
        <v>40</v>
      </c>
      <c r="F489" s="3">
        <v>43573</v>
      </c>
      <c r="G489" s="3">
        <v>43804</v>
      </c>
      <c r="H489" t="s">
        <v>1600</v>
      </c>
      <c r="I489" t="s">
        <v>33</v>
      </c>
      <c r="J489" t="s">
        <v>1601</v>
      </c>
      <c r="K489" t="s">
        <v>177</v>
      </c>
      <c r="L489" t="s">
        <v>1602</v>
      </c>
      <c r="M489" t="s">
        <v>60</v>
      </c>
      <c r="N489" s="3">
        <v>43662</v>
      </c>
      <c r="O489" t="s">
        <v>392</v>
      </c>
      <c r="P489" t="s">
        <v>392</v>
      </c>
      <c r="Q489" s="3"/>
      <c r="R489" s="3"/>
      <c r="S489" s="3">
        <v>43588</v>
      </c>
      <c r="V489" s="3">
        <v>43588</v>
      </c>
      <c r="W489" s="3">
        <v>43650</v>
      </c>
      <c r="X489" s="3">
        <v>43727</v>
      </c>
      <c r="Y489" s="3">
        <v>43741</v>
      </c>
      <c r="Z489" s="3">
        <v>43756</v>
      </c>
      <c r="AA489" s="3"/>
      <c r="AB489" s="3">
        <v>43819</v>
      </c>
    </row>
    <row r="490" spans="1:29" x14ac:dyDescent="0.3">
      <c r="A490" s="2" t="str">
        <f>HYPERLINK("https://www.cadth.ca/alogliptin", "Nesina")</f>
        <v>Nesina</v>
      </c>
      <c r="B490" t="s">
        <v>1603</v>
      </c>
      <c r="C490" t="s">
        <v>496</v>
      </c>
      <c r="D490" t="s">
        <v>39</v>
      </c>
      <c r="E490" t="s">
        <v>40</v>
      </c>
      <c r="F490" s="3">
        <v>41669</v>
      </c>
      <c r="G490" s="3">
        <v>42019</v>
      </c>
      <c r="H490" t="s">
        <v>1604</v>
      </c>
      <c r="I490" t="s">
        <v>33</v>
      </c>
      <c r="N490" s="3"/>
      <c r="O490" t="s">
        <v>243</v>
      </c>
      <c r="Q490" s="3"/>
      <c r="R490" s="3"/>
      <c r="S490" s="3"/>
      <c r="T490" t="s">
        <v>36</v>
      </c>
      <c r="V490" s="3"/>
      <c r="W490" s="3"/>
      <c r="X490" s="3"/>
      <c r="Y490" s="3"/>
      <c r="Z490" s="3"/>
      <c r="AA490" s="3"/>
      <c r="AB490" s="3"/>
    </row>
    <row r="491" spans="1:29" x14ac:dyDescent="0.3">
      <c r="A491" s="2" t="str">
        <f>HYPERLINK("https://www.cadth.ca/pegfilgrastim", "Neulasta")</f>
        <v>Neulasta</v>
      </c>
      <c r="B491" t="s">
        <v>1393</v>
      </c>
      <c r="C491" t="s">
        <v>1008</v>
      </c>
      <c r="D491" t="s">
        <v>46</v>
      </c>
      <c r="E491" t="s">
        <v>40</v>
      </c>
      <c r="F491" s="3">
        <v>38075</v>
      </c>
      <c r="G491" s="3">
        <v>38287</v>
      </c>
      <c r="H491" t="s">
        <v>1605</v>
      </c>
      <c r="I491" t="s">
        <v>33</v>
      </c>
      <c r="N491" s="3"/>
      <c r="O491" t="s">
        <v>407</v>
      </c>
      <c r="Q491" s="3"/>
      <c r="R491" s="3"/>
      <c r="S491" s="3"/>
      <c r="T491" t="s">
        <v>36</v>
      </c>
      <c r="V491" s="3"/>
      <c r="W491" s="3"/>
      <c r="X491" s="3"/>
      <c r="Y491" s="3"/>
      <c r="Z491" s="3"/>
      <c r="AA491" s="3"/>
      <c r="AB491" s="3"/>
    </row>
    <row r="492" spans="1:29" x14ac:dyDescent="0.3">
      <c r="A492" s="2" t="str">
        <f>HYPERLINK("https://www.cadth.ca/rotigotine", "Neupro")</f>
        <v>Neupro</v>
      </c>
      <c r="B492" t="s">
        <v>1606</v>
      </c>
      <c r="C492" t="s">
        <v>340</v>
      </c>
      <c r="D492" t="s">
        <v>39</v>
      </c>
      <c r="E492" t="s">
        <v>40</v>
      </c>
      <c r="F492" s="3">
        <v>41486</v>
      </c>
      <c r="G492" s="3">
        <v>41787</v>
      </c>
      <c r="H492" t="s">
        <v>1607</v>
      </c>
      <c r="I492" t="s">
        <v>33</v>
      </c>
      <c r="N492" s="3"/>
      <c r="O492" t="s">
        <v>481</v>
      </c>
      <c r="Q492" s="3"/>
      <c r="R492" s="3"/>
      <c r="S492" s="3"/>
      <c r="T492" t="s">
        <v>36</v>
      </c>
      <c r="V492" s="3"/>
      <c r="W492" s="3"/>
      <c r="X492" s="3"/>
      <c r="Y492" s="3"/>
      <c r="Z492" s="3"/>
      <c r="AA492" s="3"/>
      <c r="AB492" s="3"/>
    </row>
    <row r="493" spans="1:29" x14ac:dyDescent="0.3">
      <c r="A493" s="2" t="str">
        <f>HYPERLINK("https://www.cadth.ca/rotigotine-0", "Neupro")</f>
        <v>Neupro</v>
      </c>
      <c r="B493" t="s">
        <v>1606</v>
      </c>
      <c r="C493" t="s">
        <v>1371</v>
      </c>
      <c r="D493" t="s">
        <v>46</v>
      </c>
      <c r="E493" t="s">
        <v>40</v>
      </c>
      <c r="F493" s="3">
        <v>42145</v>
      </c>
      <c r="G493" s="3">
        <v>42327</v>
      </c>
      <c r="H493" t="s">
        <v>1608</v>
      </c>
      <c r="I493" t="s">
        <v>33</v>
      </c>
      <c r="N493" s="3"/>
      <c r="O493" t="s">
        <v>481</v>
      </c>
      <c r="Q493" s="3"/>
      <c r="R493" s="3"/>
      <c r="S493" s="3"/>
      <c r="T493" t="s">
        <v>142</v>
      </c>
      <c r="V493" s="3"/>
      <c r="W493" s="3"/>
      <c r="X493" s="3"/>
      <c r="Y493" s="3"/>
      <c r="Z493" s="3"/>
      <c r="AA493" s="3"/>
      <c r="AB493" s="3"/>
    </row>
    <row r="494" spans="1:29" x14ac:dyDescent="0.3">
      <c r="A494" s="2" t="str">
        <f>HYPERLINK("https://www.cadth.ca/sorafenib-tablets", "Nexavar")</f>
        <v>Nexavar</v>
      </c>
      <c r="B494" t="s">
        <v>1609</v>
      </c>
      <c r="C494" t="s">
        <v>1610</v>
      </c>
      <c r="D494" t="s">
        <v>39</v>
      </c>
      <c r="E494" t="s">
        <v>40</v>
      </c>
      <c r="F494" s="3">
        <v>38929</v>
      </c>
      <c r="G494" s="3">
        <v>39141</v>
      </c>
      <c r="H494" t="s">
        <v>1611</v>
      </c>
      <c r="I494" t="s">
        <v>33</v>
      </c>
      <c r="N494" s="3"/>
      <c r="O494" t="s">
        <v>146</v>
      </c>
      <c r="Q494" s="3"/>
      <c r="R494" s="3"/>
      <c r="S494" s="3"/>
      <c r="T494" t="s">
        <v>36</v>
      </c>
      <c r="V494" s="3"/>
      <c r="W494" s="3"/>
      <c r="X494" s="3"/>
      <c r="Y494" s="3"/>
      <c r="Z494" s="3"/>
      <c r="AA494" s="3"/>
      <c r="AB494" s="3"/>
    </row>
    <row r="495" spans="1:29" x14ac:dyDescent="0.3">
      <c r="A495" s="2" t="str">
        <f>HYPERLINK("https://www.cadth.ca/node/79661", "Nexavar")</f>
        <v>Nexavar</v>
      </c>
      <c r="B495" t="s">
        <v>1612</v>
      </c>
      <c r="C495" t="s">
        <v>1613</v>
      </c>
      <c r="D495" t="s">
        <v>127</v>
      </c>
      <c r="E495" t="s">
        <v>40</v>
      </c>
      <c r="F495" s="3">
        <v>41992</v>
      </c>
      <c r="G495" s="3">
        <v>42201</v>
      </c>
      <c r="H495" t="s">
        <v>1614</v>
      </c>
      <c r="I495" t="s">
        <v>33</v>
      </c>
      <c r="J495" t="s">
        <v>1615</v>
      </c>
      <c r="K495" t="s">
        <v>184</v>
      </c>
      <c r="L495" t="s">
        <v>1616</v>
      </c>
      <c r="N495" s="3">
        <v>41817</v>
      </c>
      <c r="O495" t="s">
        <v>146</v>
      </c>
      <c r="P495" t="s">
        <v>146</v>
      </c>
      <c r="Q495" s="3"/>
      <c r="R495" s="3"/>
      <c r="S495" s="3">
        <v>42009</v>
      </c>
      <c r="U495" t="s">
        <v>99</v>
      </c>
      <c r="V495" s="3">
        <v>42016</v>
      </c>
      <c r="W495" s="3">
        <v>42053</v>
      </c>
      <c r="X495" s="3">
        <v>42110</v>
      </c>
      <c r="Y495" s="3">
        <v>42124</v>
      </c>
      <c r="Z495" s="3">
        <v>42138</v>
      </c>
      <c r="AA495" s="3"/>
      <c r="AB495" s="3">
        <v>42216</v>
      </c>
      <c r="AC495" t="s">
        <v>1617</v>
      </c>
    </row>
    <row r="496" spans="1:29" x14ac:dyDescent="0.3">
      <c r="A496" s="2" t="str">
        <f>HYPERLINK("https://www.cadth.ca/etonogestrel-0", "Nexplanon")</f>
        <v>Nexplanon</v>
      </c>
      <c r="B496" t="s">
        <v>1618</v>
      </c>
      <c r="C496" t="s">
        <v>1619</v>
      </c>
      <c r="D496" t="s">
        <v>55</v>
      </c>
      <c r="E496" t="s">
        <v>40</v>
      </c>
      <c r="F496" s="3">
        <v>43985</v>
      </c>
      <c r="G496" s="3">
        <v>44124</v>
      </c>
      <c r="H496" t="s">
        <v>1620</v>
      </c>
      <c r="I496" t="s">
        <v>33</v>
      </c>
      <c r="N496" s="3"/>
      <c r="O496" t="s">
        <v>289</v>
      </c>
      <c r="Q496" s="3"/>
      <c r="R496" s="3"/>
      <c r="S496" s="3"/>
      <c r="T496" t="s">
        <v>36</v>
      </c>
      <c r="V496" s="3"/>
      <c r="W496" s="3"/>
      <c r="X496" s="3"/>
      <c r="Y496" s="3"/>
      <c r="Z496" s="3"/>
      <c r="AA496" s="3"/>
      <c r="AB496" s="3"/>
    </row>
    <row r="497" spans="1:29" x14ac:dyDescent="0.3">
      <c r="A497" s="2" t="str">
        <f>HYPERLINK("https://www.cadth.ca/node/98286", "Ninlaro")</f>
        <v>Ninlaro</v>
      </c>
      <c r="B497" t="s">
        <v>1621</v>
      </c>
      <c r="C497" t="s">
        <v>663</v>
      </c>
      <c r="D497" t="s">
        <v>127</v>
      </c>
      <c r="E497" t="s">
        <v>40</v>
      </c>
      <c r="F497" s="3">
        <v>42720</v>
      </c>
      <c r="G497" s="3">
        <v>42915</v>
      </c>
      <c r="H497" t="s">
        <v>1622</v>
      </c>
      <c r="I497" t="s">
        <v>33</v>
      </c>
      <c r="J497" t="s">
        <v>1623</v>
      </c>
      <c r="K497" t="s">
        <v>34</v>
      </c>
      <c r="L497" t="s">
        <v>1624</v>
      </c>
      <c r="N497" s="3">
        <v>42586</v>
      </c>
      <c r="O497" t="s">
        <v>1625</v>
      </c>
      <c r="P497" t="s">
        <v>1625</v>
      </c>
      <c r="Q497" s="3"/>
      <c r="R497" s="3"/>
      <c r="S497" s="3">
        <v>42755</v>
      </c>
      <c r="U497" t="s">
        <v>62</v>
      </c>
      <c r="V497" s="3">
        <v>42744</v>
      </c>
      <c r="W497" s="3">
        <v>42788</v>
      </c>
      <c r="X497" s="3">
        <v>42845</v>
      </c>
      <c r="Y497" s="3">
        <v>42859</v>
      </c>
      <c r="Z497" s="3">
        <v>42873</v>
      </c>
      <c r="AA497" s="3"/>
      <c r="AB497" s="3">
        <v>42933</v>
      </c>
      <c r="AC497" t="s">
        <v>1158</v>
      </c>
    </row>
    <row r="498" spans="1:29" x14ac:dyDescent="0.3">
      <c r="A498" s="2" t="str">
        <f>HYPERLINK("https://www.cadth.ca/node/111646", "Ninlaro")</f>
        <v>Ninlaro</v>
      </c>
      <c r="B498" t="s">
        <v>1621</v>
      </c>
      <c r="C498" t="s">
        <v>1626</v>
      </c>
      <c r="D498" t="s">
        <v>127</v>
      </c>
      <c r="E498" t="s">
        <v>40</v>
      </c>
      <c r="F498" s="3">
        <v>43434</v>
      </c>
      <c r="G498" s="3">
        <v>43651</v>
      </c>
      <c r="H498" t="s">
        <v>1627</v>
      </c>
      <c r="I498" t="s">
        <v>33</v>
      </c>
      <c r="J498" t="s">
        <v>1628</v>
      </c>
      <c r="K498" t="s">
        <v>34</v>
      </c>
      <c r="L498" t="s">
        <v>1629</v>
      </c>
      <c r="N498" s="3">
        <v>42586</v>
      </c>
      <c r="O498" t="s">
        <v>243</v>
      </c>
      <c r="P498" t="s">
        <v>243</v>
      </c>
      <c r="Q498" s="3"/>
      <c r="R498" s="3"/>
      <c r="S498" s="3">
        <v>43448</v>
      </c>
      <c r="V498" s="3">
        <v>43448</v>
      </c>
      <c r="W498" s="3">
        <v>43503</v>
      </c>
      <c r="X498" s="3">
        <v>43573</v>
      </c>
      <c r="Y498" s="3">
        <v>43588</v>
      </c>
      <c r="Z498" s="3">
        <v>43602</v>
      </c>
      <c r="AA498" s="3"/>
      <c r="AB498" s="3">
        <v>43668</v>
      </c>
    </row>
    <row r="499" spans="1:29" x14ac:dyDescent="0.3">
      <c r="A499" s="2" t="str">
        <f>HYPERLINK("https://www.cadth.ca/nitisinone-1", "Nitisinone")</f>
        <v>Nitisinone</v>
      </c>
      <c r="B499" t="s">
        <v>1537</v>
      </c>
      <c r="C499" t="s">
        <v>1538</v>
      </c>
      <c r="D499" t="s">
        <v>55</v>
      </c>
      <c r="E499" t="s">
        <v>40</v>
      </c>
      <c r="F499" s="3">
        <v>43125</v>
      </c>
      <c r="G499" s="3">
        <v>43335</v>
      </c>
      <c r="H499" t="s">
        <v>1630</v>
      </c>
      <c r="I499" t="s">
        <v>33</v>
      </c>
      <c r="N499" s="3"/>
      <c r="O499" t="s">
        <v>1631</v>
      </c>
      <c r="Q499" s="3"/>
      <c r="R499" s="3"/>
      <c r="S499" s="3"/>
      <c r="T499" t="s">
        <v>36</v>
      </c>
      <c r="V499" s="3"/>
      <c r="W499" s="3"/>
      <c r="X499" s="3"/>
      <c r="Y499" s="3"/>
      <c r="Z499" s="3"/>
      <c r="AA499" s="3"/>
      <c r="AB499" s="3"/>
    </row>
    <row r="500" spans="1:29" x14ac:dyDescent="0.3">
      <c r="A500" s="2" t="str">
        <f>HYPERLINK("https://www.cadth.ca/quinagolide-hydrochloride-0", "Norprolac")</f>
        <v>Norprolac</v>
      </c>
      <c r="B500" t="s">
        <v>1632</v>
      </c>
      <c r="C500" t="s">
        <v>1633</v>
      </c>
      <c r="D500" t="s">
        <v>46</v>
      </c>
      <c r="E500" t="s">
        <v>40</v>
      </c>
      <c r="F500" s="3">
        <v>38679</v>
      </c>
      <c r="G500" s="3">
        <v>38854</v>
      </c>
      <c r="H500" t="s">
        <v>1634</v>
      </c>
      <c r="I500" t="s">
        <v>33</v>
      </c>
      <c r="N500" s="3"/>
      <c r="O500" t="s">
        <v>1014</v>
      </c>
      <c r="Q500" s="3"/>
      <c r="R500" s="3"/>
      <c r="S500" s="3"/>
      <c r="T500" t="s">
        <v>142</v>
      </c>
      <c r="V500" s="3"/>
      <c r="W500" s="3"/>
      <c r="X500" s="3"/>
      <c r="Y500" s="3"/>
      <c r="Z500" s="3"/>
      <c r="AA500" s="3"/>
      <c r="AB500" s="3"/>
    </row>
    <row r="501" spans="1:29" x14ac:dyDescent="0.3">
      <c r="A501" s="2" t="str">
        <f>HYPERLINK("https://www.cadth.ca/quinagolide-hydrochloride", "Norprolac")</f>
        <v>Norprolac</v>
      </c>
      <c r="B501" t="s">
        <v>1632</v>
      </c>
      <c r="C501" t="s">
        <v>1633</v>
      </c>
      <c r="D501" t="s">
        <v>39</v>
      </c>
      <c r="E501" t="s">
        <v>40</v>
      </c>
      <c r="F501" s="3">
        <v>38337</v>
      </c>
      <c r="G501" s="3">
        <v>38623</v>
      </c>
      <c r="H501" t="s">
        <v>1635</v>
      </c>
      <c r="I501" t="s">
        <v>33</v>
      </c>
      <c r="N501" s="3"/>
      <c r="O501" t="s">
        <v>1014</v>
      </c>
      <c r="Q501" s="3"/>
      <c r="R501" s="3"/>
      <c r="S501" s="3"/>
      <c r="T501" t="s">
        <v>36</v>
      </c>
      <c r="V501" s="3"/>
      <c r="W501" s="3"/>
      <c r="X501" s="3"/>
      <c r="Y501" s="3"/>
      <c r="Z501" s="3"/>
      <c r="AA501" s="3"/>
      <c r="AB501" s="3"/>
    </row>
    <row r="502" spans="1:29" x14ac:dyDescent="0.3">
      <c r="A502" s="2" t="str">
        <f>HYPERLINK("https://www.cadth.ca/insulin-aspartinsulin-aspart-protamine", "NovoMix 30")</f>
        <v>NovoMix 30</v>
      </c>
      <c r="B502" t="s">
        <v>1636</v>
      </c>
      <c r="C502" t="s">
        <v>813</v>
      </c>
      <c r="D502" t="s">
        <v>39</v>
      </c>
      <c r="E502" t="s">
        <v>40</v>
      </c>
      <c r="F502" s="3">
        <v>38638</v>
      </c>
      <c r="G502" s="3">
        <v>38833</v>
      </c>
      <c r="H502" t="s">
        <v>1637</v>
      </c>
      <c r="I502" t="s">
        <v>33</v>
      </c>
      <c r="N502" s="3"/>
      <c r="O502" t="s">
        <v>1433</v>
      </c>
      <c r="Q502" s="3"/>
      <c r="R502" s="3"/>
      <c r="S502" s="3"/>
      <c r="T502" t="s">
        <v>36</v>
      </c>
      <c r="V502" s="3"/>
      <c r="W502" s="3"/>
      <c r="X502" s="3"/>
      <c r="Y502" s="3"/>
      <c r="Z502" s="3"/>
      <c r="AA502" s="3"/>
      <c r="AB502" s="3"/>
    </row>
    <row r="503" spans="1:29" x14ac:dyDescent="0.3">
      <c r="A503" s="2" t="str">
        <f>HYPERLINK("https://www.cadth.ca/romiplostim", "Nplate")</f>
        <v>Nplate</v>
      </c>
      <c r="B503" t="s">
        <v>1638</v>
      </c>
      <c r="C503" t="s">
        <v>1639</v>
      </c>
      <c r="D503" t="s">
        <v>39</v>
      </c>
      <c r="E503" t="s">
        <v>40</v>
      </c>
      <c r="F503" s="3">
        <v>40085</v>
      </c>
      <c r="G503" s="3">
        <v>40325</v>
      </c>
      <c r="H503" t="s">
        <v>1640</v>
      </c>
      <c r="I503" t="s">
        <v>33</v>
      </c>
      <c r="N503" s="3"/>
      <c r="O503" t="s">
        <v>407</v>
      </c>
      <c r="Q503" s="3"/>
      <c r="R503" s="3"/>
      <c r="S503" s="3"/>
      <c r="T503" t="s">
        <v>36</v>
      </c>
      <c r="V503" s="3"/>
      <c r="W503" s="3"/>
      <c r="X503" s="3"/>
      <c r="Y503" s="3"/>
      <c r="Z503" s="3"/>
      <c r="AA503" s="3"/>
      <c r="AB503" s="3"/>
    </row>
    <row r="504" spans="1:29" x14ac:dyDescent="0.3">
      <c r="A504" s="2" t="str">
        <f>HYPERLINK("https://www.cadth.ca/node/116603", "Nubeqa")</f>
        <v>Nubeqa</v>
      </c>
      <c r="B504" t="s">
        <v>1641</v>
      </c>
      <c r="C504" t="s">
        <v>1642</v>
      </c>
      <c r="D504" t="s">
        <v>55</v>
      </c>
      <c r="E504" t="s">
        <v>40</v>
      </c>
      <c r="F504" s="3">
        <v>43704</v>
      </c>
      <c r="G504" s="3">
        <v>43943</v>
      </c>
      <c r="H504" t="s">
        <v>1643</v>
      </c>
      <c r="I504" t="s">
        <v>33</v>
      </c>
      <c r="J504" t="s">
        <v>1644</v>
      </c>
      <c r="K504" t="s">
        <v>367</v>
      </c>
      <c r="L504" t="s">
        <v>1645</v>
      </c>
      <c r="M504" t="s">
        <v>60</v>
      </c>
      <c r="N504" s="3">
        <v>43881</v>
      </c>
      <c r="O504" t="s">
        <v>146</v>
      </c>
      <c r="P504" t="s">
        <v>146</v>
      </c>
      <c r="Q504" s="3"/>
      <c r="R504" s="3"/>
      <c r="S504" s="3">
        <v>43719</v>
      </c>
      <c r="V504" s="3">
        <v>43719</v>
      </c>
      <c r="W504" s="3">
        <v>43781</v>
      </c>
      <c r="X504" s="3">
        <v>43909</v>
      </c>
      <c r="Y504" s="3">
        <v>43923</v>
      </c>
      <c r="Z504" s="3">
        <v>43938</v>
      </c>
      <c r="AA504" s="3"/>
      <c r="AB504" s="3">
        <v>43958</v>
      </c>
    </row>
    <row r="505" spans="1:29" x14ac:dyDescent="0.3">
      <c r="A505" s="2" t="str">
        <f>HYPERLINK("https://www.cadth.ca/mepolizumab-1", "Nucala")</f>
        <v>Nucala</v>
      </c>
      <c r="B505" t="s">
        <v>1646</v>
      </c>
      <c r="C505" t="s">
        <v>1647</v>
      </c>
      <c r="D505" t="s">
        <v>577</v>
      </c>
      <c r="E505" t="s">
        <v>578</v>
      </c>
      <c r="F505" s="3"/>
      <c r="G505" s="3"/>
      <c r="H505" t="s">
        <v>391</v>
      </c>
      <c r="I505" t="s">
        <v>33</v>
      </c>
      <c r="N505" s="3"/>
      <c r="O505" t="s">
        <v>259</v>
      </c>
      <c r="Q505" s="3"/>
      <c r="R505" s="3"/>
      <c r="S505" s="3"/>
      <c r="T505" t="s">
        <v>579</v>
      </c>
      <c r="V505" s="3"/>
      <c r="W505" s="3"/>
      <c r="X505" s="3"/>
      <c r="Y505" s="3"/>
      <c r="Z505" s="3"/>
      <c r="AA505" s="3"/>
      <c r="AB505" s="3"/>
    </row>
    <row r="506" spans="1:29" x14ac:dyDescent="0.3">
      <c r="A506" s="2" t="str">
        <f>HYPERLINK("https://www.cadth.ca/mepolizumab", "Nucala")</f>
        <v>Nucala</v>
      </c>
      <c r="B506" t="s">
        <v>1648</v>
      </c>
      <c r="C506" t="s">
        <v>890</v>
      </c>
      <c r="D506" t="s">
        <v>55</v>
      </c>
      <c r="E506" t="s">
        <v>40</v>
      </c>
      <c r="F506" s="3">
        <v>42356</v>
      </c>
      <c r="G506" s="3">
        <v>42537</v>
      </c>
      <c r="H506" t="s">
        <v>1649</v>
      </c>
      <c r="I506" t="s">
        <v>33</v>
      </c>
      <c r="N506" s="3"/>
      <c r="O506" t="s">
        <v>259</v>
      </c>
      <c r="Q506" s="3"/>
      <c r="R506" s="3"/>
      <c r="S506" s="3"/>
      <c r="T506" t="s">
        <v>36</v>
      </c>
      <c r="V506" s="3"/>
      <c r="W506" s="3"/>
      <c r="X506" s="3"/>
      <c r="Y506" s="3"/>
      <c r="Z506" s="3"/>
      <c r="AA506" s="3"/>
      <c r="AB506" s="3"/>
    </row>
    <row r="507" spans="1:29" x14ac:dyDescent="0.3">
      <c r="A507" s="2" t="str">
        <f>HYPERLINK("https://www.cadth.ca/mepolizumab-0", "Nucala")</f>
        <v>Nucala</v>
      </c>
      <c r="B507" t="s">
        <v>1646</v>
      </c>
      <c r="C507" t="s">
        <v>890</v>
      </c>
      <c r="D507" t="s">
        <v>55</v>
      </c>
      <c r="E507" t="s">
        <v>40</v>
      </c>
      <c r="F507" s="3">
        <v>43397</v>
      </c>
      <c r="G507" s="3">
        <v>43551</v>
      </c>
      <c r="H507" t="s">
        <v>1650</v>
      </c>
      <c r="I507" t="s">
        <v>33</v>
      </c>
      <c r="N507" s="3"/>
      <c r="O507" t="s">
        <v>259</v>
      </c>
      <c r="Q507" s="3"/>
      <c r="R507" s="3"/>
      <c r="S507" s="3"/>
      <c r="T507" t="s">
        <v>49</v>
      </c>
      <c r="V507" s="3"/>
      <c r="W507" s="3"/>
      <c r="X507" s="3"/>
      <c r="Y507" s="3"/>
      <c r="Z507" s="3"/>
      <c r="AA507" s="3"/>
      <c r="AB507" s="3"/>
    </row>
    <row r="508" spans="1:29" x14ac:dyDescent="0.3">
      <c r="A508" s="2" t="str">
        <f>HYPERLINK("https://www.cadth.ca/tapentadol-hydrochloride", "Nucynta")</f>
        <v>Nucynta</v>
      </c>
      <c r="B508" t="s">
        <v>1651</v>
      </c>
      <c r="C508" t="s">
        <v>1652</v>
      </c>
      <c r="D508" t="s">
        <v>127</v>
      </c>
      <c r="E508" t="s">
        <v>40</v>
      </c>
      <c r="F508" s="3">
        <v>43207</v>
      </c>
      <c r="G508" s="3">
        <v>43396</v>
      </c>
      <c r="H508" t="s">
        <v>1653</v>
      </c>
      <c r="I508" t="s">
        <v>33</v>
      </c>
      <c r="N508" s="3"/>
      <c r="O508" t="s">
        <v>67</v>
      </c>
      <c r="Q508" s="3"/>
      <c r="R508" s="3"/>
      <c r="S508" s="3"/>
      <c r="T508" t="s">
        <v>36</v>
      </c>
      <c r="V508" s="3"/>
      <c r="W508" s="3"/>
      <c r="X508" s="3"/>
      <c r="Y508" s="3"/>
      <c r="Z508" s="3"/>
      <c r="AA508" s="3"/>
      <c r="AB508" s="3"/>
    </row>
    <row r="509" spans="1:29" x14ac:dyDescent="0.3">
      <c r="A509" s="2" t="str">
        <f>HYPERLINK("https://www.cadth.ca/tapentadol", "Nucynta CR")</f>
        <v>Nucynta CR</v>
      </c>
      <c r="B509" t="s">
        <v>1654</v>
      </c>
      <c r="C509" t="s">
        <v>1655</v>
      </c>
      <c r="D509" t="s">
        <v>39</v>
      </c>
      <c r="E509" t="s">
        <v>40</v>
      </c>
      <c r="F509" s="3">
        <v>40575</v>
      </c>
      <c r="G509" s="3">
        <v>40814</v>
      </c>
      <c r="H509" t="s">
        <v>1656</v>
      </c>
      <c r="I509" t="s">
        <v>33</v>
      </c>
      <c r="N509" s="3"/>
      <c r="O509" t="s">
        <v>665</v>
      </c>
      <c r="Q509" s="3"/>
      <c r="R509" s="3"/>
      <c r="S509" s="3"/>
      <c r="T509" t="s">
        <v>36</v>
      </c>
      <c r="V509" s="3"/>
      <c r="W509" s="3"/>
      <c r="X509" s="3"/>
      <c r="Y509" s="3"/>
      <c r="Z509" s="3"/>
      <c r="AA509" s="3"/>
      <c r="AB509" s="3"/>
    </row>
    <row r="510" spans="1:29" x14ac:dyDescent="0.3">
      <c r="A510" s="2" t="str">
        <f>HYPERLINK("https://www.cadth.ca/etonogestrelethinyl-estradiol", "NuvaRing")</f>
        <v>NuvaRing</v>
      </c>
      <c r="B510" t="s">
        <v>1657</v>
      </c>
      <c r="C510" t="s">
        <v>1658</v>
      </c>
      <c r="D510" t="s">
        <v>46</v>
      </c>
      <c r="E510" t="s">
        <v>40</v>
      </c>
      <c r="F510" s="3">
        <v>38842</v>
      </c>
      <c r="G510" s="3">
        <v>39050</v>
      </c>
      <c r="H510" t="s">
        <v>1659</v>
      </c>
      <c r="I510" t="s">
        <v>33</v>
      </c>
      <c r="N510" s="3"/>
      <c r="O510" t="s">
        <v>1660</v>
      </c>
      <c r="Q510" s="3"/>
      <c r="R510" s="3"/>
      <c r="S510" s="3"/>
      <c r="T510" t="s">
        <v>36</v>
      </c>
      <c r="V510" s="3"/>
      <c r="W510" s="3"/>
      <c r="X510" s="3"/>
      <c r="Y510" s="3"/>
      <c r="Z510" s="3"/>
      <c r="AA510" s="3"/>
      <c r="AB510" s="3"/>
    </row>
    <row r="511" spans="1:29" x14ac:dyDescent="0.3">
      <c r="A511" s="2" t="str">
        <f>HYPERLINK("https://www.cadth.ca/obeticholic-acid", "Ocaliva")</f>
        <v>Ocaliva</v>
      </c>
      <c r="B511" t="s">
        <v>1661</v>
      </c>
      <c r="C511" t="s">
        <v>1662</v>
      </c>
      <c r="D511" t="s">
        <v>55</v>
      </c>
      <c r="E511" t="s">
        <v>40</v>
      </c>
      <c r="F511" s="3">
        <v>42726</v>
      </c>
      <c r="G511" s="3">
        <v>42941</v>
      </c>
      <c r="H511" t="s">
        <v>1663</v>
      </c>
      <c r="I511" t="s">
        <v>33</v>
      </c>
      <c r="N511" s="3"/>
      <c r="O511" t="s">
        <v>1664</v>
      </c>
      <c r="Q511" s="3"/>
      <c r="R511" s="3"/>
      <c r="S511" s="3"/>
      <c r="T511" t="s">
        <v>36</v>
      </c>
      <c r="V511" s="3"/>
      <c r="W511" s="3"/>
      <c r="X511" s="3"/>
      <c r="Y511" s="3"/>
      <c r="Z511" s="3"/>
      <c r="AA511" s="3"/>
      <c r="AB511" s="3"/>
    </row>
    <row r="512" spans="1:29" x14ac:dyDescent="0.3">
      <c r="A512" s="2" t="str">
        <f>HYPERLINK("https://www.cadth.ca/ocrelizumab-0", "Ocrevus")</f>
        <v>Ocrevus</v>
      </c>
      <c r="B512" t="s">
        <v>1665</v>
      </c>
      <c r="C512" t="s">
        <v>1666</v>
      </c>
      <c r="D512" t="s">
        <v>55</v>
      </c>
      <c r="E512" t="s">
        <v>40</v>
      </c>
      <c r="F512" s="3">
        <v>43034</v>
      </c>
      <c r="G512" s="3">
        <v>43216</v>
      </c>
      <c r="H512" t="s">
        <v>1667</v>
      </c>
      <c r="I512" t="s">
        <v>33</v>
      </c>
      <c r="N512" s="3"/>
      <c r="O512" t="s">
        <v>1668</v>
      </c>
      <c r="Q512" s="3"/>
      <c r="R512" s="3"/>
      <c r="S512" s="3"/>
      <c r="T512" t="s">
        <v>36</v>
      </c>
      <c r="V512" s="3"/>
      <c r="W512" s="3"/>
      <c r="X512" s="3"/>
      <c r="Y512" s="3"/>
      <c r="Z512" s="3"/>
      <c r="AA512" s="3"/>
      <c r="AB512" s="3"/>
    </row>
    <row r="513" spans="1:29" x14ac:dyDescent="0.3">
      <c r="A513" s="2" t="str">
        <f>HYPERLINK("https://www.cadth.ca/ocrelizumab", "Ocrevus")</f>
        <v>Ocrevus</v>
      </c>
      <c r="B513" t="s">
        <v>1665</v>
      </c>
      <c r="C513" t="s">
        <v>1669</v>
      </c>
      <c r="D513" t="s">
        <v>55</v>
      </c>
      <c r="E513" t="s">
        <v>40</v>
      </c>
      <c r="F513" s="3">
        <v>42871</v>
      </c>
      <c r="G513" s="3">
        <v>43060</v>
      </c>
      <c r="H513" t="s">
        <v>1670</v>
      </c>
      <c r="I513" t="s">
        <v>33</v>
      </c>
      <c r="N513" s="3"/>
      <c r="O513" t="s">
        <v>1668</v>
      </c>
      <c r="Q513" s="3"/>
      <c r="R513" s="3"/>
      <c r="S513" s="3"/>
      <c r="T513" t="s">
        <v>36</v>
      </c>
      <c r="V513" s="3"/>
      <c r="W513" s="3"/>
      <c r="X513" s="3"/>
      <c r="Y513" s="3"/>
      <c r="Z513" s="3"/>
      <c r="AA513" s="3"/>
      <c r="AB513" s="3"/>
    </row>
    <row r="514" spans="1:29" x14ac:dyDescent="0.3">
      <c r="A514" s="2" t="str">
        <f>HYPERLINK("https://www.cadth.ca/emtricitabinerilpivirine-tenofovir-alafenamide", "Odefsey")</f>
        <v>Odefsey</v>
      </c>
      <c r="B514" t="s">
        <v>1671</v>
      </c>
      <c r="C514" t="s">
        <v>394</v>
      </c>
      <c r="D514" t="s">
        <v>55</v>
      </c>
      <c r="E514" t="s">
        <v>40</v>
      </c>
      <c r="F514" s="3">
        <v>42698</v>
      </c>
      <c r="G514" s="3">
        <v>42880</v>
      </c>
      <c r="H514" t="s">
        <v>1672</v>
      </c>
      <c r="I514" t="s">
        <v>33</v>
      </c>
      <c r="N514" s="3"/>
      <c r="O514" t="s">
        <v>396</v>
      </c>
      <c r="Q514" s="3"/>
      <c r="R514" s="3"/>
      <c r="S514" s="3"/>
      <c r="T514" t="s">
        <v>36</v>
      </c>
      <c r="V514" s="3"/>
      <c r="W514" s="3"/>
      <c r="X514" s="3"/>
      <c r="Y514" s="3"/>
      <c r="Z514" s="3"/>
      <c r="AA514" s="3"/>
      <c r="AB514" s="3"/>
    </row>
    <row r="515" spans="1:29" x14ac:dyDescent="0.3">
      <c r="A515" s="2" t="str">
        <f>HYPERLINK("https://www.cadth.ca/node/120076", "Odomzo")</f>
        <v>Odomzo</v>
      </c>
      <c r="B515" t="s">
        <v>1673</v>
      </c>
      <c r="C515" t="s">
        <v>839</v>
      </c>
      <c r="E515" t="s">
        <v>40</v>
      </c>
      <c r="F515" s="3">
        <v>44001</v>
      </c>
      <c r="G515" s="3">
        <v>44315</v>
      </c>
      <c r="H515" t="s">
        <v>1674</v>
      </c>
      <c r="I515" t="s">
        <v>33</v>
      </c>
      <c r="J515" t="s">
        <v>1345</v>
      </c>
      <c r="K515" t="s">
        <v>616</v>
      </c>
      <c r="L515" t="s">
        <v>1675</v>
      </c>
      <c r="N515" s="3">
        <v>43994</v>
      </c>
      <c r="O515" t="s">
        <v>1676</v>
      </c>
      <c r="P515" t="s">
        <v>1676</v>
      </c>
      <c r="Q515" s="3"/>
      <c r="R515" s="3"/>
      <c r="S515" s="3">
        <v>44035</v>
      </c>
      <c r="V515" s="3">
        <v>44018</v>
      </c>
      <c r="W515" s="3">
        <v>44089</v>
      </c>
      <c r="X515" s="3">
        <v>44245</v>
      </c>
      <c r="Y515" s="3">
        <v>44259</v>
      </c>
      <c r="Z515" s="3">
        <v>44273</v>
      </c>
      <c r="AA515" s="3"/>
      <c r="AB515" s="3">
        <v>44300</v>
      </c>
    </row>
    <row r="516" spans="1:29" x14ac:dyDescent="0.3">
      <c r="A516" s="2" t="str">
        <f>HYPERLINK("https://www.cadth.ca/nintedanib-0", "Ofev")</f>
        <v>Ofev</v>
      </c>
      <c r="B516" t="s">
        <v>1677</v>
      </c>
      <c r="C516" t="s">
        <v>1678</v>
      </c>
      <c r="D516" t="s">
        <v>55</v>
      </c>
      <c r="E516" t="s">
        <v>40</v>
      </c>
      <c r="F516" s="3">
        <v>44036</v>
      </c>
      <c r="G516" s="3">
        <v>44251</v>
      </c>
      <c r="H516" t="s">
        <v>1679</v>
      </c>
      <c r="I516" t="s">
        <v>33</v>
      </c>
      <c r="N516" s="3"/>
      <c r="O516" t="s">
        <v>1169</v>
      </c>
      <c r="Q516" s="3"/>
      <c r="R516" s="3"/>
      <c r="S516" s="3"/>
      <c r="T516" t="s">
        <v>36</v>
      </c>
      <c r="V516" s="3"/>
      <c r="W516" s="3"/>
      <c r="X516" s="3"/>
      <c r="Y516" s="3"/>
      <c r="Z516" s="3"/>
      <c r="AA516" s="3"/>
      <c r="AB516" s="3"/>
    </row>
    <row r="517" spans="1:29" x14ac:dyDescent="0.3">
      <c r="A517" s="2" t="str">
        <f>HYPERLINK("https://www.cadth.ca/nintedanib", "Ofev")</f>
        <v>Ofev</v>
      </c>
      <c r="B517" t="s">
        <v>1680</v>
      </c>
      <c r="C517" t="s">
        <v>850</v>
      </c>
      <c r="D517" t="s">
        <v>46</v>
      </c>
      <c r="E517" t="s">
        <v>40</v>
      </c>
      <c r="F517" s="3">
        <v>42117</v>
      </c>
      <c r="G517" s="3">
        <v>42292</v>
      </c>
      <c r="H517" t="s">
        <v>1681</v>
      </c>
      <c r="I517" t="s">
        <v>33</v>
      </c>
      <c r="N517" s="3"/>
      <c r="O517" t="s">
        <v>1169</v>
      </c>
      <c r="Q517" s="3"/>
      <c r="R517" s="3"/>
      <c r="S517" s="3"/>
      <c r="T517" t="s">
        <v>36</v>
      </c>
      <c r="V517" s="3"/>
      <c r="W517" s="3"/>
      <c r="X517" s="3"/>
      <c r="Y517" s="3"/>
      <c r="Z517" s="3"/>
      <c r="AA517" s="3"/>
      <c r="AB517" s="3"/>
    </row>
    <row r="518" spans="1:29" x14ac:dyDescent="0.3">
      <c r="A518" s="2" t="str">
        <f>HYPERLINK("https://www.cadth.ca/node/112202", "Ogivri")</f>
        <v>Ogivri</v>
      </c>
      <c r="B518" t="s">
        <v>1682</v>
      </c>
      <c r="E518" t="s">
        <v>113</v>
      </c>
      <c r="F518" s="3">
        <v>43452</v>
      </c>
      <c r="G518" s="3"/>
      <c r="H518" t="s">
        <v>1683</v>
      </c>
      <c r="I518" t="s">
        <v>33</v>
      </c>
      <c r="J518" t="s">
        <v>1684</v>
      </c>
      <c r="K518" t="s">
        <v>1685</v>
      </c>
      <c r="L518" t="s">
        <v>1686</v>
      </c>
      <c r="M518" t="s">
        <v>60</v>
      </c>
      <c r="N518" s="3">
        <v>43592</v>
      </c>
      <c r="O518" t="s">
        <v>1687</v>
      </c>
      <c r="P518" t="s">
        <v>1687</v>
      </c>
      <c r="Q518" s="3"/>
      <c r="R518" s="3"/>
      <c r="S518" s="3">
        <v>43474</v>
      </c>
      <c r="V518" s="3">
        <v>43474</v>
      </c>
      <c r="W518" s="3"/>
      <c r="X518" s="3"/>
      <c r="Y518" s="3"/>
      <c r="Z518" s="3"/>
      <c r="AA518" s="3"/>
      <c r="AB518" s="3"/>
      <c r="AC518" t="s">
        <v>1688</v>
      </c>
    </row>
    <row r="519" spans="1:29" x14ac:dyDescent="0.3">
      <c r="A519" s="2" t="str">
        <f>HYPERLINK("https://www.cadth.ca/olmesartan-medoxomil", "Olmetec")</f>
        <v>Olmetec</v>
      </c>
      <c r="B519" t="s">
        <v>1689</v>
      </c>
      <c r="C519" t="s">
        <v>231</v>
      </c>
      <c r="D519" t="s">
        <v>262</v>
      </c>
      <c r="E519" t="s">
        <v>40</v>
      </c>
      <c r="F519" s="3">
        <v>39780</v>
      </c>
      <c r="G519" s="3">
        <v>39960</v>
      </c>
      <c r="H519" t="s">
        <v>1690</v>
      </c>
      <c r="I519" t="s">
        <v>33</v>
      </c>
      <c r="N519" s="3"/>
      <c r="O519" t="s">
        <v>1691</v>
      </c>
      <c r="Q519" s="3"/>
      <c r="R519" s="3"/>
      <c r="S519" s="3"/>
      <c r="T519" t="s">
        <v>36</v>
      </c>
      <c r="V519" s="3"/>
      <c r="W519" s="3"/>
      <c r="X519" s="3"/>
      <c r="Y519" s="3"/>
      <c r="Z519" s="3"/>
      <c r="AA519" s="3"/>
      <c r="AB519" s="3"/>
    </row>
    <row r="520" spans="1:29" x14ac:dyDescent="0.3">
      <c r="A520" s="2" t="str">
        <f>HYPERLINK("https://www.cadth.ca/olmesartan-medoxomil-hydrochlorothiazide", "Olmetec Plus")</f>
        <v>Olmetec Plus</v>
      </c>
      <c r="B520" t="s">
        <v>1692</v>
      </c>
      <c r="C520" t="s">
        <v>231</v>
      </c>
      <c r="D520" t="s">
        <v>262</v>
      </c>
      <c r="E520" t="s">
        <v>40</v>
      </c>
      <c r="F520" s="3">
        <v>39780</v>
      </c>
      <c r="G520" s="3">
        <v>39960</v>
      </c>
      <c r="H520" t="s">
        <v>1693</v>
      </c>
      <c r="I520" t="s">
        <v>33</v>
      </c>
      <c r="N520" s="3"/>
      <c r="O520" t="s">
        <v>1691</v>
      </c>
      <c r="Q520" s="3"/>
      <c r="R520" s="3"/>
      <c r="S520" s="3"/>
      <c r="T520" t="s">
        <v>36</v>
      </c>
      <c r="V520" s="3"/>
      <c r="W520" s="3"/>
      <c r="X520" s="3"/>
      <c r="Y520" s="3"/>
      <c r="Z520" s="3"/>
      <c r="AA520" s="3"/>
      <c r="AB520" s="3"/>
    </row>
    <row r="521" spans="1:29" x14ac:dyDescent="0.3">
      <c r="A521" s="2" t="str">
        <f>HYPERLINK("https://www.cadth.ca/baricitinib", "Olumiant")</f>
        <v>Olumiant</v>
      </c>
      <c r="B521" t="s">
        <v>1694</v>
      </c>
      <c r="C521" t="s">
        <v>84</v>
      </c>
      <c r="D521" t="s">
        <v>55</v>
      </c>
      <c r="E521" t="s">
        <v>40</v>
      </c>
      <c r="F521" s="3">
        <v>43454</v>
      </c>
      <c r="G521" s="3">
        <v>43679</v>
      </c>
      <c r="H521" t="s">
        <v>1695</v>
      </c>
      <c r="I521" t="s">
        <v>33</v>
      </c>
      <c r="N521" s="3"/>
      <c r="O521" t="s">
        <v>133</v>
      </c>
      <c r="Q521" s="3"/>
      <c r="R521" s="3"/>
      <c r="S521" s="3"/>
      <c r="T521" t="s">
        <v>36</v>
      </c>
      <c r="V521" s="3"/>
      <c r="W521" s="3"/>
      <c r="X521" s="3"/>
      <c r="Y521" s="3"/>
      <c r="Z521" s="3"/>
      <c r="AA521" s="3"/>
      <c r="AB521" s="3"/>
    </row>
    <row r="522" spans="1:29" x14ac:dyDescent="0.3">
      <c r="A522" s="2" t="str">
        <f>HYPERLINK("https://www.cadth.ca/ciclesonide-nasal-spray", "Omnaris")</f>
        <v>Omnaris</v>
      </c>
      <c r="B522" t="s">
        <v>1696</v>
      </c>
      <c r="C522" t="s">
        <v>1697</v>
      </c>
      <c r="D522" t="s">
        <v>39</v>
      </c>
      <c r="E522" t="s">
        <v>40</v>
      </c>
      <c r="F522" s="3">
        <v>39575</v>
      </c>
      <c r="G522" s="3">
        <v>39764</v>
      </c>
      <c r="H522" t="s">
        <v>1698</v>
      </c>
      <c r="I522" t="s">
        <v>33</v>
      </c>
      <c r="N522" s="3"/>
      <c r="O522" t="s">
        <v>689</v>
      </c>
      <c r="Q522" s="3"/>
      <c r="R522" s="3"/>
      <c r="S522" s="3"/>
      <c r="T522" t="s">
        <v>36</v>
      </c>
      <c r="V522" s="3"/>
      <c r="W522" s="3"/>
      <c r="X522" s="3"/>
      <c r="Y522" s="3"/>
      <c r="Z522" s="3"/>
      <c r="AA522" s="3"/>
      <c r="AB522" s="3"/>
    </row>
    <row r="523" spans="1:29" x14ac:dyDescent="0.3">
      <c r="A523" s="2" t="str">
        <f>HYPERLINK("https://www.cadth.ca/somatropin-rdna-origin", "Omnitrope")</f>
        <v>Omnitrope</v>
      </c>
      <c r="B523" t="s">
        <v>1699</v>
      </c>
      <c r="C523" t="s">
        <v>1700</v>
      </c>
      <c r="E523" t="s">
        <v>40</v>
      </c>
      <c r="F523" s="3">
        <v>39976</v>
      </c>
      <c r="G523" s="3"/>
      <c r="H523" t="s">
        <v>1701</v>
      </c>
      <c r="I523" t="s">
        <v>33</v>
      </c>
      <c r="N523" s="3"/>
      <c r="O523" t="s">
        <v>837</v>
      </c>
      <c r="Q523" s="3"/>
      <c r="R523" s="3"/>
      <c r="S523" s="3"/>
      <c r="T523" t="s">
        <v>36</v>
      </c>
      <c r="V523" s="3"/>
      <c r="W523" s="3"/>
      <c r="X523" s="3"/>
      <c r="Y523" s="3"/>
      <c r="Z523" s="3"/>
      <c r="AA523" s="3"/>
      <c r="AB523" s="3"/>
    </row>
    <row r="524" spans="1:29" x14ac:dyDescent="0.3">
      <c r="A524" s="2" t="str">
        <f>HYPERLINK("https://www.cadth.ca/indacaterol", "Onbrez")</f>
        <v>Onbrez</v>
      </c>
      <c r="B524" t="s">
        <v>1702</v>
      </c>
      <c r="C524" t="s">
        <v>257</v>
      </c>
      <c r="D524" t="s">
        <v>1703</v>
      </c>
      <c r="E524" t="s">
        <v>40</v>
      </c>
      <c r="F524" s="3">
        <v>40968</v>
      </c>
      <c r="G524" s="3">
        <v>41137</v>
      </c>
      <c r="H524" t="s">
        <v>1704</v>
      </c>
      <c r="I524" t="s">
        <v>33</v>
      </c>
      <c r="N524" s="3"/>
      <c r="O524" t="s">
        <v>71</v>
      </c>
      <c r="Q524" s="3"/>
      <c r="R524" s="3"/>
      <c r="S524" s="3"/>
      <c r="T524" t="s">
        <v>36</v>
      </c>
      <c r="V524" s="3"/>
      <c r="W524" s="3"/>
      <c r="X524" s="3"/>
      <c r="Y524" s="3"/>
      <c r="Z524" s="3"/>
      <c r="AA524" s="3"/>
      <c r="AB524" s="3"/>
    </row>
    <row r="525" spans="1:29" x14ac:dyDescent="0.3">
      <c r="A525" s="2" t="str">
        <f>HYPERLINK("https://www.cadth.ca/node/115927", "Oncaspar")</f>
        <v>Oncaspar</v>
      </c>
      <c r="B525" t="s">
        <v>1705</v>
      </c>
      <c r="D525" t="s">
        <v>577</v>
      </c>
      <c r="E525" t="s">
        <v>578</v>
      </c>
      <c r="F525" s="3"/>
      <c r="G525" s="3"/>
      <c r="H525" t="s">
        <v>391</v>
      </c>
      <c r="I525" t="s">
        <v>33</v>
      </c>
      <c r="K525" t="s">
        <v>284</v>
      </c>
      <c r="N525" s="3"/>
      <c r="O525" t="s">
        <v>372</v>
      </c>
      <c r="Q525" s="3"/>
      <c r="R525" s="3"/>
      <c r="S525" s="3"/>
      <c r="V525" s="3"/>
      <c r="W525" s="3"/>
      <c r="X525" s="3"/>
      <c r="Y525" s="3"/>
      <c r="Z525" s="3"/>
      <c r="AA525" s="3"/>
      <c r="AB525" s="3"/>
      <c r="AC525" t="s">
        <v>694</v>
      </c>
    </row>
    <row r="526" spans="1:29" x14ac:dyDescent="0.3">
      <c r="A526" s="2" t="str">
        <f>HYPERLINK("https://www.cadth.ca/saxagliptin-0", "Onglyza")</f>
        <v>Onglyza</v>
      </c>
      <c r="B526" t="s">
        <v>1706</v>
      </c>
      <c r="C526" t="s">
        <v>496</v>
      </c>
      <c r="E526" t="s">
        <v>113</v>
      </c>
      <c r="F526" s="3">
        <v>41057</v>
      </c>
      <c r="G526" s="3"/>
      <c r="H526" t="s">
        <v>1707</v>
      </c>
      <c r="I526" t="s">
        <v>33</v>
      </c>
      <c r="N526" s="3"/>
      <c r="O526" t="s">
        <v>1361</v>
      </c>
      <c r="Q526" s="3"/>
      <c r="R526" s="3"/>
      <c r="S526" s="3"/>
      <c r="T526" t="s">
        <v>142</v>
      </c>
      <c r="V526" s="3"/>
      <c r="W526" s="3"/>
      <c r="X526" s="3"/>
      <c r="Y526" s="3"/>
      <c r="Z526" s="3"/>
      <c r="AA526" s="3"/>
      <c r="AB526" s="3"/>
    </row>
    <row r="527" spans="1:29" x14ac:dyDescent="0.3">
      <c r="A527" s="2" t="str">
        <f>HYPERLINK("https://www.cadth.ca/saxagliptin", "Onglyza")</f>
        <v>Onglyza</v>
      </c>
      <c r="B527" t="s">
        <v>1706</v>
      </c>
      <c r="C527" t="s">
        <v>1223</v>
      </c>
      <c r="D527" t="s">
        <v>39</v>
      </c>
      <c r="E527" t="s">
        <v>40</v>
      </c>
      <c r="F527" s="3">
        <v>40126</v>
      </c>
      <c r="G527" s="3">
        <v>40346</v>
      </c>
      <c r="H527" t="s">
        <v>1708</v>
      </c>
      <c r="I527" t="s">
        <v>33</v>
      </c>
      <c r="N527" s="3"/>
      <c r="O527" t="s">
        <v>42</v>
      </c>
      <c r="Q527" s="3"/>
      <c r="R527" s="3"/>
      <c r="S527" s="3"/>
      <c r="T527" t="s">
        <v>36</v>
      </c>
      <c r="V527" s="3"/>
      <c r="W527" s="3"/>
      <c r="X527" s="3"/>
      <c r="Y527" s="3"/>
      <c r="Z527" s="3"/>
      <c r="AA527" s="3"/>
      <c r="AB527" s="3"/>
    </row>
    <row r="528" spans="1:29" x14ac:dyDescent="0.3">
      <c r="A528" s="2" t="str">
        <f>HYPERLINK("https://www.cadth.ca/saxagliptin-1", "Onglyza")</f>
        <v>Onglyza</v>
      </c>
      <c r="B528" t="s">
        <v>1706</v>
      </c>
      <c r="C528" t="s">
        <v>496</v>
      </c>
      <c r="D528" t="s">
        <v>50</v>
      </c>
      <c r="E528" t="s">
        <v>40</v>
      </c>
      <c r="F528" s="3">
        <v>41403</v>
      </c>
      <c r="G528" s="3">
        <v>41593</v>
      </c>
      <c r="H528" t="s">
        <v>1709</v>
      </c>
      <c r="I528" t="s">
        <v>33</v>
      </c>
      <c r="N528" s="3"/>
      <c r="O528" t="s">
        <v>1361</v>
      </c>
      <c r="Q528" s="3"/>
      <c r="R528" s="3"/>
      <c r="S528" s="3"/>
      <c r="T528" t="s">
        <v>36</v>
      </c>
      <c r="V528" s="3"/>
      <c r="W528" s="3"/>
      <c r="X528" s="3"/>
      <c r="Y528" s="3"/>
      <c r="Z528" s="3"/>
      <c r="AA528" s="3"/>
      <c r="AB528" s="3"/>
    </row>
    <row r="529" spans="1:29" x14ac:dyDescent="0.3">
      <c r="A529" s="2" t="str">
        <f>HYPERLINK("https://www.cadth.ca/node/101265", "Onivyde")</f>
        <v>Onivyde</v>
      </c>
      <c r="B529" t="s">
        <v>1710</v>
      </c>
      <c r="C529" t="s">
        <v>54</v>
      </c>
      <c r="D529" t="s">
        <v>55</v>
      </c>
      <c r="E529" t="s">
        <v>40</v>
      </c>
      <c r="F529" s="3">
        <v>42852</v>
      </c>
      <c r="G529" s="3">
        <v>43105</v>
      </c>
      <c r="H529" t="s">
        <v>1711</v>
      </c>
      <c r="I529" t="s">
        <v>33</v>
      </c>
      <c r="J529" t="s">
        <v>1712</v>
      </c>
      <c r="K529" t="s">
        <v>58</v>
      </c>
      <c r="L529" t="s">
        <v>1713</v>
      </c>
      <c r="M529" t="s">
        <v>60</v>
      </c>
      <c r="N529" s="3">
        <v>42956</v>
      </c>
      <c r="O529" t="s">
        <v>1714</v>
      </c>
      <c r="P529" t="s">
        <v>1714</v>
      </c>
      <c r="Q529" s="3"/>
      <c r="R529" s="3"/>
      <c r="S529" s="3">
        <v>42859</v>
      </c>
      <c r="U529" t="s">
        <v>214</v>
      </c>
      <c r="V529" s="3">
        <v>42866</v>
      </c>
      <c r="W529" s="3">
        <v>42928</v>
      </c>
      <c r="X529" s="3">
        <v>43027</v>
      </c>
      <c r="Y529" s="3">
        <v>43041</v>
      </c>
      <c r="Z529" s="3">
        <v>43055</v>
      </c>
      <c r="AA529" s="3"/>
      <c r="AB529" s="3">
        <v>43122</v>
      </c>
      <c r="AC529" t="s">
        <v>1715</v>
      </c>
    </row>
    <row r="530" spans="1:29" x14ac:dyDescent="0.3">
      <c r="A530" s="2" t="str">
        <f>HYPERLINK("https://www.cadth.ca/node/97163", "Onivyde")</f>
        <v>Onivyde</v>
      </c>
      <c r="B530" t="s">
        <v>1716</v>
      </c>
      <c r="E530" t="s">
        <v>154</v>
      </c>
      <c r="F530" s="3"/>
      <c r="G530" s="3"/>
      <c r="H530" t="s">
        <v>1717</v>
      </c>
      <c r="I530" t="s">
        <v>33</v>
      </c>
      <c r="K530" t="s">
        <v>58</v>
      </c>
      <c r="L530" t="s">
        <v>1718</v>
      </c>
      <c r="M530" t="s">
        <v>60</v>
      </c>
      <c r="N530" s="3"/>
      <c r="O530" t="s">
        <v>1719</v>
      </c>
      <c r="P530" t="s">
        <v>1719</v>
      </c>
      <c r="Q530" s="3"/>
      <c r="R530" s="3"/>
      <c r="S530" s="3"/>
      <c r="V530" s="3"/>
      <c r="W530" s="3"/>
      <c r="X530" s="3"/>
      <c r="Y530" s="3"/>
      <c r="Z530" s="3"/>
      <c r="AA530" s="3"/>
      <c r="AB530" s="3"/>
      <c r="AC530" t="s">
        <v>647</v>
      </c>
    </row>
    <row r="531" spans="1:29" x14ac:dyDescent="0.3">
      <c r="A531" s="2" t="str">
        <f>HYPERLINK("https://www.cadth.ca/patisiran", "Onpattro")</f>
        <v>Onpattro</v>
      </c>
      <c r="B531" t="s">
        <v>1720</v>
      </c>
      <c r="C531" t="s">
        <v>1721</v>
      </c>
      <c r="D531" t="s">
        <v>55</v>
      </c>
      <c r="E531" t="s">
        <v>40</v>
      </c>
      <c r="F531" s="3">
        <v>43490</v>
      </c>
      <c r="G531" s="3">
        <v>43671</v>
      </c>
      <c r="H531" t="s">
        <v>1722</v>
      </c>
      <c r="I531" t="s">
        <v>33</v>
      </c>
      <c r="N531" s="3"/>
      <c r="O531" t="s">
        <v>1723</v>
      </c>
      <c r="Q531" s="3"/>
      <c r="R531" s="3"/>
      <c r="S531" s="3"/>
      <c r="T531" t="s">
        <v>36</v>
      </c>
      <c r="V531" s="3"/>
      <c r="W531" s="3"/>
      <c r="X531" s="3"/>
      <c r="Y531" s="3"/>
      <c r="Z531" s="3"/>
      <c r="AA531" s="3"/>
      <c r="AB531" s="3"/>
    </row>
    <row r="532" spans="1:29" x14ac:dyDescent="0.3">
      <c r="A532" s="2" t="str">
        <f>HYPERLINK("https://www.cadth.ca/fentanyl-citrate", "Onsolis")</f>
        <v>Onsolis</v>
      </c>
      <c r="B532" t="s">
        <v>1724</v>
      </c>
      <c r="C532" t="s">
        <v>65</v>
      </c>
      <c r="E532" t="s">
        <v>113</v>
      </c>
      <c r="F532" s="3">
        <v>40673</v>
      </c>
      <c r="G532" s="3"/>
      <c r="H532" t="s">
        <v>1725</v>
      </c>
      <c r="I532" t="s">
        <v>33</v>
      </c>
      <c r="N532" s="3"/>
      <c r="O532" t="s">
        <v>1726</v>
      </c>
      <c r="Q532" s="3"/>
      <c r="R532" s="3"/>
      <c r="S532" s="3"/>
      <c r="T532" t="s">
        <v>36</v>
      </c>
      <c r="V532" s="3"/>
      <c r="W532" s="3"/>
      <c r="X532" s="3"/>
      <c r="Y532" s="3"/>
      <c r="Z532" s="3"/>
      <c r="AA532" s="3"/>
      <c r="AB532" s="3"/>
    </row>
    <row r="533" spans="1:29" x14ac:dyDescent="0.3">
      <c r="A533" s="2" t="str">
        <f>HYPERLINK("https://www.cadth.ca/fentanyl-citrate-1", "Onsolis")</f>
        <v>Onsolis</v>
      </c>
      <c r="B533" t="s">
        <v>1724</v>
      </c>
      <c r="C533" t="s">
        <v>65</v>
      </c>
      <c r="D533" t="s">
        <v>39</v>
      </c>
      <c r="E533" t="s">
        <v>40</v>
      </c>
      <c r="F533" s="3">
        <v>40777</v>
      </c>
      <c r="G533" s="3">
        <v>40954</v>
      </c>
      <c r="H533" t="s">
        <v>1727</v>
      </c>
      <c r="I533" t="s">
        <v>33</v>
      </c>
      <c r="N533" s="3"/>
      <c r="O533" t="s">
        <v>1726</v>
      </c>
      <c r="Q533" s="3"/>
      <c r="R533" s="3"/>
      <c r="S533" s="3"/>
      <c r="T533" t="s">
        <v>142</v>
      </c>
      <c r="V533" s="3"/>
      <c r="W533" s="3"/>
      <c r="X533" s="3"/>
      <c r="Y533" s="3"/>
      <c r="Z533" s="3"/>
      <c r="AA533" s="3"/>
      <c r="AB533" s="3"/>
    </row>
    <row r="534" spans="1:29" x14ac:dyDescent="0.3">
      <c r="A534" s="2" t="str">
        <f>HYPERLINK("https://www.cadth.ca/safinamide", "Onstryv")</f>
        <v>Onstryv</v>
      </c>
      <c r="B534" t="s">
        <v>1728</v>
      </c>
      <c r="C534" t="s">
        <v>340</v>
      </c>
      <c r="D534" t="s">
        <v>127</v>
      </c>
      <c r="E534" t="s">
        <v>40</v>
      </c>
      <c r="F534" s="3">
        <v>43614</v>
      </c>
      <c r="G534" s="3">
        <v>43915</v>
      </c>
      <c r="H534" t="s">
        <v>1729</v>
      </c>
      <c r="I534" t="s">
        <v>33</v>
      </c>
      <c r="N534" s="3"/>
      <c r="O534" t="s">
        <v>1730</v>
      </c>
      <c r="Q534" s="3"/>
      <c r="R534" s="3"/>
      <c r="S534" s="3"/>
      <c r="T534" t="s">
        <v>36</v>
      </c>
      <c r="V534" s="3"/>
      <c r="W534" s="3"/>
      <c r="X534" s="3"/>
      <c r="Y534" s="3"/>
      <c r="Z534" s="3"/>
      <c r="AA534" s="3"/>
      <c r="AB534" s="3"/>
    </row>
    <row r="535" spans="1:29" x14ac:dyDescent="0.3">
      <c r="A535" s="2" t="str">
        <f>HYPERLINK("https://www.cadth.ca/azacitidine", "Onureg")</f>
        <v>Onureg</v>
      </c>
      <c r="B535" t="s">
        <v>1731</v>
      </c>
      <c r="C535" t="s">
        <v>1732</v>
      </c>
      <c r="E535" t="s">
        <v>31</v>
      </c>
      <c r="F535" s="3">
        <v>44256</v>
      </c>
      <c r="G535" s="3"/>
      <c r="H535" t="s">
        <v>1733</v>
      </c>
      <c r="I535" t="s">
        <v>33</v>
      </c>
      <c r="K535" t="s">
        <v>284</v>
      </c>
      <c r="N535" s="3"/>
      <c r="O535" t="s">
        <v>1734</v>
      </c>
      <c r="Q535" s="3"/>
      <c r="R535" s="3"/>
      <c r="S535" s="3"/>
      <c r="T535" t="s">
        <v>36</v>
      </c>
      <c r="V535" s="3"/>
      <c r="W535" s="3"/>
      <c r="X535" s="3"/>
      <c r="Y535" s="3"/>
      <c r="Z535" s="3"/>
      <c r="AA535" s="3"/>
      <c r="AB535" s="3"/>
    </row>
    <row r="536" spans="1:29" x14ac:dyDescent="0.3">
      <c r="A536" s="2" t="str">
        <f>HYPERLINK("https://www.cadth.ca/node/89232", "Opdivo")</f>
        <v>Opdivo</v>
      </c>
      <c r="B536" t="s">
        <v>1735</v>
      </c>
      <c r="C536" t="s">
        <v>1313</v>
      </c>
      <c r="D536" t="s">
        <v>55</v>
      </c>
      <c r="E536" t="s">
        <v>40</v>
      </c>
      <c r="F536" s="3">
        <v>42229</v>
      </c>
      <c r="G536" s="3">
        <v>42461</v>
      </c>
      <c r="H536" t="s">
        <v>1736</v>
      </c>
      <c r="I536" t="s">
        <v>33</v>
      </c>
      <c r="J536" t="s">
        <v>1737</v>
      </c>
      <c r="K536" t="s">
        <v>616</v>
      </c>
      <c r="L536" t="s">
        <v>1738</v>
      </c>
      <c r="M536" t="s">
        <v>60</v>
      </c>
      <c r="N536" s="3">
        <v>42272</v>
      </c>
      <c r="O536" t="s">
        <v>42</v>
      </c>
      <c r="P536" t="s">
        <v>42</v>
      </c>
      <c r="Q536" s="3"/>
      <c r="R536" s="3"/>
      <c r="S536" s="3">
        <v>42248</v>
      </c>
      <c r="U536" t="s">
        <v>99</v>
      </c>
      <c r="V536" s="3">
        <v>42243</v>
      </c>
      <c r="W536" s="3">
        <v>42326</v>
      </c>
      <c r="X536" s="3">
        <v>42390</v>
      </c>
      <c r="Y536" s="3">
        <v>42404</v>
      </c>
      <c r="Z536" s="3">
        <v>42419</v>
      </c>
      <c r="AA536" s="3"/>
      <c r="AB536" s="3">
        <v>42478</v>
      </c>
      <c r="AC536" t="s">
        <v>1739</v>
      </c>
    </row>
    <row r="537" spans="1:29" x14ac:dyDescent="0.3">
      <c r="A537" s="2" t="str">
        <f>HYPERLINK("https://www.cadth.ca/node/108914", "Opdivo")</f>
        <v>Opdivo</v>
      </c>
      <c r="B537" t="s">
        <v>1735</v>
      </c>
      <c r="C537" t="s">
        <v>1740</v>
      </c>
      <c r="D537" t="s">
        <v>127</v>
      </c>
      <c r="E537" t="s">
        <v>40</v>
      </c>
      <c r="F537" s="3">
        <v>43228</v>
      </c>
      <c r="G537" s="3">
        <v>43433</v>
      </c>
      <c r="H537" t="s">
        <v>1741</v>
      </c>
      <c r="I537" t="s">
        <v>33</v>
      </c>
      <c r="J537" t="s">
        <v>643</v>
      </c>
      <c r="K537" t="s">
        <v>58</v>
      </c>
      <c r="L537" t="s">
        <v>1742</v>
      </c>
      <c r="N537" s="3">
        <v>43182</v>
      </c>
      <c r="O537" t="s">
        <v>42</v>
      </c>
      <c r="P537" t="s">
        <v>42</v>
      </c>
      <c r="Q537" s="3"/>
      <c r="R537" s="3"/>
      <c r="S537" s="3">
        <v>43235</v>
      </c>
      <c r="U537" t="s">
        <v>62</v>
      </c>
      <c r="V537" s="3">
        <v>43243</v>
      </c>
      <c r="W537" s="3">
        <v>43291</v>
      </c>
      <c r="X537" s="3">
        <v>43363</v>
      </c>
      <c r="Y537" s="3">
        <v>43377</v>
      </c>
      <c r="Z537" s="3">
        <v>43392</v>
      </c>
      <c r="AA537" s="3"/>
      <c r="AB537" s="3">
        <v>43448</v>
      </c>
    </row>
    <row r="538" spans="1:29" x14ac:dyDescent="0.3">
      <c r="A538" s="2" t="str">
        <f>HYPERLINK("https://www.cadth.ca/node/110188", "Opdivo")</f>
        <v>Opdivo</v>
      </c>
      <c r="B538" t="s">
        <v>1735</v>
      </c>
      <c r="C538" t="s">
        <v>1743</v>
      </c>
      <c r="D538" t="s">
        <v>55</v>
      </c>
      <c r="E538" t="s">
        <v>40</v>
      </c>
      <c r="F538" s="3">
        <v>43339</v>
      </c>
      <c r="G538" s="3">
        <v>43531</v>
      </c>
      <c r="H538" t="s">
        <v>1744</v>
      </c>
      <c r="I538" t="s">
        <v>33</v>
      </c>
      <c r="J538" t="s">
        <v>1745</v>
      </c>
      <c r="K538" t="s">
        <v>362</v>
      </c>
      <c r="L538" t="s">
        <v>1746</v>
      </c>
      <c r="M538" t="s">
        <v>60</v>
      </c>
      <c r="N538" s="3">
        <v>43419</v>
      </c>
      <c r="O538" t="s">
        <v>42</v>
      </c>
      <c r="P538" t="s">
        <v>42</v>
      </c>
      <c r="Q538" s="3"/>
      <c r="R538" s="3"/>
      <c r="S538" s="3">
        <v>43354</v>
      </c>
      <c r="U538" t="s">
        <v>99</v>
      </c>
      <c r="V538" s="3">
        <v>43354</v>
      </c>
      <c r="W538" s="3">
        <v>43390</v>
      </c>
      <c r="X538" s="3">
        <v>43447</v>
      </c>
      <c r="Y538" s="3">
        <v>43469</v>
      </c>
      <c r="Z538" s="3">
        <v>43483</v>
      </c>
      <c r="AA538" s="3"/>
      <c r="AB538" s="3">
        <v>43546</v>
      </c>
    </row>
    <row r="539" spans="1:29" x14ac:dyDescent="0.3">
      <c r="A539" s="2" t="str">
        <f>HYPERLINK("https://www.cadth.ca/nivolumab-0", "Opdivo")</f>
        <v>Opdivo</v>
      </c>
      <c r="B539" t="s">
        <v>1747</v>
      </c>
      <c r="C539" t="s">
        <v>1748</v>
      </c>
      <c r="E539" t="s">
        <v>31</v>
      </c>
      <c r="F539" s="3">
        <v>44426</v>
      </c>
      <c r="G539" s="3"/>
      <c r="H539" t="s">
        <v>1749</v>
      </c>
      <c r="I539" t="s">
        <v>33</v>
      </c>
      <c r="K539" t="s">
        <v>58</v>
      </c>
      <c r="N539" s="3"/>
      <c r="O539" t="s">
        <v>48</v>
      </c>
      <c r="Q539" s="3"/>
      <c r="R539" s="3"/>
      <c r="S539" s="3"/>
      <c r="T539" t="s">
        <v>36</v>
      </c>
      <c r="V539" s="3"/>
      <c r="W539" s="3"/>
      <c r="X539" s="3"/>
      <c r="Y539" s="3"/>
      <c r="Z539" s="3"/>
      <c r="AA539" s="3"/>
      <c r="AB539" s="3"/>
    </row>
    <row r="540" spans="1:29" x14ac:dyDescent="0.3">
      <c r="A540" s="2" t="str">
        <f>HYPERLINK("https://www.cadth.ca/node/92348", "Opdivo")</f>
        <v>Opdivo</v>
      </c>
      <c r="B540" t="s">
        <v>1735</v>
      </c>
      <c r="C540" t="s">
        <v>1153</v>
      </c>
      <c r="D540" t="s">
        <v>55</v>
      </c>
      <c r="E540" t="s">
        <v>40</v>
      </c>
      <c r="F540" s="3">
        <v>42424</v>
      </c>
      <c r="G540" s="3">
        <v>42614</v>
      </c>
      <c r="H540" t="s">
        <v>1750</v>
      </c>
      <c r="I540" t="s">
        <v>33</v>
      </c>
      <c r="J540" t="s">
        <v>1751</v>
      </c>
      <c r="K540" t="s">
        <v>367</v>
      </c>
      <c r="L540" t="s">
        <v>1752</v>
      </c>
      <c r="M540" t="s">
        <v>60</v>
      </c>
      <c r="N540" s="3">
        <v>42485</v>
      </c>
      <c r="O540" t="s">
        <v>1753</v>
      </c>
      <c r="P540" t="s">
        <v>1753</v>
      </c>
      <c r="Q540" s="3"/>
      <c r="R540" s="3"/>
      <c r="S540" s="3">
        <v>42431</v>
      </c>
      <c r="U540" t="s">
        <v>99</v>
      </c>
      <c r="V540" s="3">
        <v>42438</v>
      </c>
      <c r="W540" s="3">
        <v>42475</v>
      </c>
      <c r="X540" s="3">
        <v>42537</v>
      </c>
      <c r="Y540" s="3">
        <v>42551</v>
      </c>
      <c r="Z540" s="3">
        <v>42566</v>
      </c>
      <c r="AA540" s="3"/>
      <c r="AB540" s="3">
        <v>42632</v>
      </c>
      <c r="AC540" t="s">
        <v>1754</v>
      </c>
    </row>
    <row r="541" spans="1:29" x14ac:dyDescent="0.3">
      <c r="A541" s="2" t="str">
        <f>HYPERLINK("https://www.cadth.ca/node/98591", "Opdivo")</f>
        <v>Opdivo</v>
      </c>
      <c r="B541" t="s">
        <v>1735</v>
      </c>
      <c r="C541" t="s">
        <v>1755</v>
      </c>
      <c r="D541" t="s">
        <v>55</v>
      </c>
      <c r="E541" t="s">
        <v>40</v>
      </c>
      <c r="F541" s="3">
        <v>42766</v>
      </c>
      <c r="G541" s="3">
        <v>42978</v>
      </c>
      <c r="H541" t="s">
        <v>1756</v>
      </c>
      <c r="I541" t="s">
        <v>33</v>
      </c>
      <c r="J541" t="s">
        <v>1757</v>
      </c>
      <c r="K541" t="s">
        <v>1295</v>
      </c>
      <c r="L541" t="s">
        <v>1758</v>
      </c>
      <c r="M541" t="s">
        <v>60</v>
      </c>
      <c r="N541" s="3">
        <v>42867</v>
      </c>
      <c r="O541" t="s">
        <v>42</v>
      </c>
      <c r="P541" t="s">
        <v>42</v>
      </c>
      <c r="Q541" s="3"/>
      <c r="R541" s="3"/>
      <c r="S541" s="3">
        <v>42779</v>
      </c>
      <c r="U541" t="s">
        <v>99</v>
      </c>
      <c r="V541" s="3">
        <v>42780</v>
      </c>
      <c r="W541" s="3">
        <v>42830</v>
      </c>
      <c r="X541" s="3">
        <v>42901</v>
      </c>
      <c r="Y541" s="3">
        <v>42915</v>
      </c>
      <c r="Z541" s="3">
        <v>42930</v>
      </c>
      <c r="AA541" s="3"/>
      <c r="AB541" s="3">
        <v>42996</v>
      </c>
    </row>
    <row r="542" spans="1:29" x14ac:dyDescent="0.3">
      <c r="A542" s="2" t="str">
        <f>HYPERLINK("https://www.cadth.ca/node/104698", "Opdivo")</f>
        <v>Opdivo</v>
      </c>
      <c r="B542" t="s">
        <v>1735</v>
      </c>
      <c r="C542" t="s">
        <v>1759</v>
      </c>
      <c r="D542" t="s">
        <v>55</v>
      </c>
      <c r="E542" t="s">
        <v>40</v>
      </c>
      <c r="F542" s="3">
        <v>43007</v>
      </c>
      <c r="G542" s="3">
        <v>43223</v>
      </c>
      <c r="H542" t="s">
        <v>1760</v>
      </c>
      <c r="I542" t="s">
        <v>33</v>
      </c>
      <c r="J542" t="s">
        <v>643</v>
      </c>
      <c r="K542" t="s">
        <v>96</v>
      </c>
      <c r="L542" t="s">
        <v>1761</v>
      </c>
      <c r="M542" t="s">
        <v>60</v>
      </c>
      <c r="N542" s="3">
        <v>43049</v>
      </c>
      <c r="O542" t="s">
        <v>48</v>
      </c>
      <c r="P542" t="s">
        <v>48</v>
      </c>
      <c r="Q542" s="3"/>
      <c r="R542" s="3"/>
      <c r="S542" s="3">
        <v>43014</v>
      </c>
      <c r="U542" t="s">
        <v>214</v>
      </c>
      <c r="V542" s="3">
        <v>43024</v>
      </c>
      <c r="W542" s="3">
        <v>43059</v>
      </c>
      <c r="X542" s="3">
        <v>43146</v>
      </c>
      <c r="Y542" s="3">
        <v>43161</v>
      </c>
      <c r="Z542" s="3">
        <v>43175</v>
      </c>
      <c r="AA542" s="3"/>
      <c r="AB542" s="3">
        <v>43238</v>
      </c>
    </row>
    <row r="543" spans="1:29" x14ac:dyDescent="0.3">
      <c r="A543" s="2" t="str">
        <f>HYPERLINK("https://www.cadth.ca/nivolumab", "Opdivo")</f>
        <v>Opdivo</v>
      </c>
      <c r="B543" t="s">
        <v>1747</v>
      </c>
      <c r="C543" t="s">
        <v>1762</v>
      </c>
      <c r="E543" t="s">
        <v>31</v>
      </c>
      <c r="F543" s="3">
        <v>44384</v>
      </c>
      <c r="G543" s="3"/>
      <c r="H543" t="s">
        <v>1763</v>
      </c>
      <c r="I543" t="s">
        <v>33</v>
      </c>
      <c r="K543" t="s">
        <v>1295</v>
      </c>
      <c r="N543" s="3"/>
      <c r="O543" t="s">
        <v>48</v>
      </c>
      <c r="Q543" s="3"/>
      <c r="R543" s="3"/>
      <c r="S543" s="3"/>
      <c r="T543" t="s">
        <v>36</v>
      </c>
      <c r="V543" s="3"/>
      <c r="W543" s="3"/>
      <c r="X543" s="3"/>
      <c r="Y543" s="3"/>
      <c r="Z543" s="3"/>
      <c r="AA543" s="3"/>
      <c r="AB543" s="3"/>
    </row>
    <row r="544" spans="1:29" x14ac:dyDescent="0.3">
      <c r="A544" s="2" t="str">
        <f>HYPERLINK("https://www.cadth.ca/node/90181", "Opdivo")</f>
        <v>Opdivo</v>
      </c>
      <c r="B544" t="s">
        <v>1735</v>
      </c>
      <c r="C544" t="s">
        <v>1764</v>
      </c>
      <c r="D544" t="s">
        <v>55</v>
      </c>
      <c r="E544" t="s">
        <v>40</v>
      </c>
      <c r="F544" s="3">
        <v>42306</v>
      </c>
      <c r="G544" s="3">
        <v>42524</v>
      </c>
      <c r="H544" t="s">
        <v>1765</v>
      </c>
      <c r="I544" t="s">
        <v>33</v>
      </c>
      <c r="J544" t="s">
        <v>1737</v>
      </c>
      <c r="K544" t="s">
        <v>205</v>
      </c>
      <c r="L544" t="s">
        <v>1766</v>
      </c>
      <c r="M544" t="s">
        <v>60</v>
      </c>
      <c r="N544" s="3">
        <v>42426</v>
      </c>
      <c r="O544" t="s">
        <v>42</v>
      </c>
      <c r="P544" t="s">
        <v>42</v>
      </c>
      <c r="Q544" s="3"/>
      <c r="R544" s="3"/>
      <c r="S544" s="3">
        <v>42313</v>
      </c>
      <c r="U544" t="s">
        <v>99</v>
      </c>
      <c r="V544" s="3">
        <v>42320</v>
      </c>
      <c r="W544" s="3">
        <v>42374</v>
      </c>
      <c r="X544" s="3">
        <v>42446</v>
      </c>
      <c r="Y544" s="3">
        <v>42461</v>
      </c>
      <c r="Z544" s="3">
        <v>42475</v>
      </c>
      <c r="AA544" s="3"/>
      <c r="AB544" s="3">
        <v>42541</v>
      </c>
    </row>
    <row r="545" spans="1:29" x14ac:dyDescent="0.3">
      <c r="A545" s="2" t="str">
        <f>HYPERLINK("https://www.cadth.ca/node/121000", "Opdivo in combination with Yervoy")</f>
        <v>Opdivo in combination with Yervoy</v>
      </c>
      <c r="B545" t="s">
        <v>1767</v>
      </c>
      <c r="C545" t="s">
        <v>239</v>
      </c>
      <c r="D545" t="s">
        <v>55</v>
      </c>
      <c r="E545" t="s">
        <v>40</v>
      </c>
      <c r="F545" s="3">
        <v>44005</v>
      </c>
      <c r="G545" s="3">
        <v>44259</v>
      </c>
      <c r="H545" t="s">
        <v>1768</v>
      </c>
      <c r="I545" t="s">
        <v>33</v>
      </c>
      <c r="J545" t="s">
        <v>643</v>
      </c>
      <c r="K545" t="s">
        <v>205</v>
      </c>
      <c r="L545" t="s">
        <v>1769</v>
      </c>
      <c r="M545" t="s">
        <v>60</v>
      </c>
      <c r="N545" s="3">
        <v>44049</v>
      </c>
      <c r="O545" t="s">
        <v>48</v>
      </c>
      <c r="P545" t="s">
        <v>48</v>
      </c>
      <c r="Q545" s="3"/>
      <c r="R545" s="3"/>
      <c r="S545" s="3">
        <v>44020</v>
      </c>
      <c r="V545" s="3">
        <v>44020</v>
      </c>
      <c r="W545" s="3">
        <v>44097</v>
      </c>
      <c r="X545" s="3">
        <v>44182</v>
      </c>
      <c r="Y545" s="3">
        <v>44204</v>
      </c>
      <c r="Z545" s="3">
        <v>44218</v>
      </c>
      <c r="AA545" s="3"/>
      <c r="AB545" s="3">
        <v>44274</v>
      </c>
    </row>
    <row r="546" spans="1:29" x14ac:dyDescent="0.3">
      <c r="A546" s="2" t="str">
        <f>HYPERLINK("https://www.cadth.ca/node/108715", "Opdivo in combination with Yervoy")</f>
        <v>Opdivo in combination with Yervoy</v>
      </c>
      <c r="B546" t="s">
        <v>1767</v>
      </c>
      <c r="C546" t="s">
        <v>1770</v>
      </c>
      <c r="D546" t="s">
        <v>55</v>
      </c>
      <c r="E546" t="s">
        <v>40</v>
      </c>
      <c r="F546" s="3">
        <v>43216</v>
      </c>
      <c r="G546" s="3">
        <v>43405</v>
      </c>
      <c r="H546" t="s">
        <v>1771</v>
      </c>
      <c r="I546" t="s">
        <v>33</v>
      </c>
      <c r="J546" t="s">
        <v>643</v>
      </c>
      <c r="K546" t="s">
        <v>367</v>
      </c>
      <c r="L546" t="s">
        <v>1772</v>
      </c>
      <c r="M546" t="s">
        <v>60</v>
      </c>
      <c r="N546" s="3">
        <v>43287</v>
      </c>
      <c r="O546" t="s">
        <v>48</v>
      </c>
      <c r="P546" t="s">
        <v>48</v>
      </c>
      <c r="Q546" s="3"/>
      <c r="R546" s="3"/>
      <c r="S546" s="3">
        <v>43223</v>
      </c>
      <c r="U546" t="s">
        <v>99</v>
      </c>
      <c r="V546" s="3">
        <v>43230</v>
      </c>
      <c r="W546" s="3">
        <v>43271</v>
      </c>
      <c r="X546" s="3">
        <v>43328</v>
      </c>
      <c r="Y546" s="3">
        <v>43342</v>
      </c>
      <c r="Z546" s="3">
        <v>43357</v>
      </c>
      <c r="AA546" s="3"/>
      <c r="AB546" s="3">
        <v>43420</v>
      </c>
    </row>
    <row r="547" spans="1:29" x14ac:dyDescent="0.3">
      <c r="A547" s="2" t="str">
        <f>HYPERLINK("https://www.cadth.ca/nivolumab-ipilimumab", "Opdivo-Yervoy")</f>
        <v>Opdivo-Yervoy</v>
      </c>
      <c r="B547" t="s">
        <v>1773</v>
      </c>
      <c r="C547" t="s">
        <v>1774</v>
      </c>
      <c r="D547" t="s">
        <v>55</v>
      </c>
      <c r="E547" t="s">
        <v>40</v>
      </c>
      <c r="F547" s="3">
        <v>44113</v>
      </c>
      <c r="G547" s="3">
        <v>44412</v>
      </c>
      <c r="H547" t="s">
        <v>1775</v>
      </c>
      <c r="I547" t="s">
        <v>33</v>
      </c>
      <c r="N547" s="3"/>
      <c r="O547" t="s">
        <v>48</v>
      </c>
      <c r="Q547" s="3"/>
      <c r="R547" s="3"/>
      <c r="S547" s="3"/>
      <c r="T547" t="s">
        <v>36</v>
      </c>
      <c r="V547" s="3"/>
      <c r="W547" s="3"/>
      <c r="X547" s="3"/>
      <c r="Y547" s="3"/>
      <c r="Z547" s="3"/>
      <c r="AA547" s="3"/>
      <c r="AB547" s="3"/>
    </row>
    <row r="548" spans="1:29" x14ac:dyDescent="0.3">
      <c r="A548" s="2" t="str">
        <f>HYPERLINK("https://www.cadth.ca/node/98288", "Opdivo &amp; Yervoy in combo")</f>
        <v>Opdivo &amp; Yervoy in combo</v>
      </c>
      <c r="B548" t="s">
        <v>1776</v>
      </c>
      <c r="C548" t="s">
        <v>1313</v>
      </c>
      <c r="D548" t="s">
        <v>55</v>
      </c>
      <c r="E548" t="s">
        <v>40</v>
      </c>
      <c r="F548" s="3">
        <v>42704</v>
      </c>
      <c r="G548" s="3">
        <v>43069</v>
      </c>
      <c r="H548" t="s">
        <v>1777</v>
      </c>
      <c r="I548" t="s">
        <v>33</v>
      </c>
      <c r="J548" t="s">
        <v>1778</v>
      </c>
      <c r="K548" t="s">
        <v>616</v>
      </c>
      <c r="L548" t="s">
        <v>1779</v>
      </c>
      <c r="N548" s="3">
        <v>42669</v>
      </c>
      <c r="O548" t="s">
        <v>42</v>
      </c>
      <c r="P548" t="s">
        <v>42</v>
      </c>
      <c r="Q548" s="3"/>
      <c r="R548" s="3"/>
      <c r="S548" s="3">
        <v>42718</v>
      </c>
      <c r="U548" t="s">
        <v>214</v>
      </c>
      <c r="V548" s="3">
        <v>42718</v>
      </c>
      <c r="W548" s="3">
        <v>42767</v>
      </c>
      <c r="X548" s="3">
        <v>42999</v>
      </c>
      <c r="Y548" s="3">
        <v>43013</v>
      </c>
      <c r="Z548" s="3">
        <v>43028</v>
      </c>
      <c r="AA548" s="3"/>
      <c r="AB548" s="3">
        <v>43084</v>
      </c>
      <c r="AC548" t="s">
        <v>1780</v>
      </c>
    </row>
    <row r="549" spans="1:29" x14ac:dyDescent="0.3">
      <c r="A549" s="2" t="str">
        <f>HYPERLINK("https://www.cadth.ca/macitentan", "Opsumit")</f>
        <v>Opsumit</v>
      </c>
      <c r="B549" t="s">
        <v>1781</v>
      </c>
      <c r="C549" t="s">
        <v>131</v>
      </c>
      <c r="D549" t="s">
        <v>46</v>
      </c>
      <c r="E549" t="s">
        <v>40</v>
      </c>
      <c r="F549" s="3">
        <v>42356</v>
      </c>
      <c r="G549" s="3">
        <v>42032</v>
      </c>
      <c r="H549" t="s">
        <v>1782</v>
      </c>
      <c r="I549" t="s">
        <v>33</v>
      </c>
      <c r="N549" s="3"/>
      <c r="O549" t="s">
        <v>1783</v>
      </c>
      <c r="Q549" s="3"/>
      <c r="R549" s="3"/>
      <c r="S549" s="3"/>
      <c r="T549" t="s">
        <v>36</v>
      </c>
      <c r="V549" s="3"/>
      <c r="W549" s="3"/>
      <c r="X549" s="3"/>
      <c r="Y549" s="3"/>
      <c r="Z549" s="3"/>
      <c r="AA549" s="3"/>
      <c r="AB549" s="3"/>
    </row>
    <row r="550" spans="1:29" x14ac:dyDescent="0.3">
      <c r="A550" s="2" t="str">
        <f>HYPERLINK("https://www.cadth.ca/grass-pollen-allergen-extract", "Oralair")</f>
        <v>Oralair</v>
      </c>
      <c r="B550" t="s">
        <v>1784</v>
      </c>
      <c r="C550" t="s">
        <v>1005</v>
      </c>
      <c r="D550" t="s">
        <v>50</v>
      </c>
      <c r="E550" t="s">
        <v>40</v>
      </c>
      <c r="F550" s="3">
        <v>41173</v>
      </c>
      <c r="G550" s="3">
        <v>41353</v>
      </c>
      <c r="H550" t="s">
        <v>1785</v>
      </c>
      <c r="I550" t="s">
        <v>33</v>
      </c>
      <c r="N550" s="3"/>
      <c r="O550" t="s">
        <v>67</v>
      </c>
      <c r="Q550" s="3"/>
      <c r="R550" s="3"/>
      <c r="S550" s="3"/>
      <c r="T550" t="s">
        <v>36</v>
      </c>
      <c r="V550" s="3"/>
      <c r="W550" s="3"/>
      <c r="X550" s="3"/>
      <c r="Y550" s="3"/>
      <c r="Z550" s="3"/>
      <c r="AA550" s="3"/>
      <c r="AB550" s="3"/>
    </row>
    <row r="551" spans="1:29" x14ac:dyDescent="0.3">
      <c r="A551" s="2" t="str">
        <f>HYPERLINK("https://www.cadth.ca/abatacept", "Orencia")</f>
        <v>Orencia</v>
      </c>
      <c r="B551" t="s">
        <v>1786</v>
      </c>
      <c r="C551" t="s">
        <v>84</v>
      </c>
      <c r="D551" t="s">
        <v>46</v>
      </c>
      <c r="E551" t="s">
        <v>40</v>
      </c>
      <c r="F551" s="3">
        <v>39016</v>
      </c>
      <c r="G551" s="3">
        <v>39260</v>
      </c>
      <c r="H551" t="s">
        <v>1787</v>
      </c>
      <c r="I551" t="s">
        <v>33</v>
      </c>
      <c r="N551" s="3"/>
      <c r="O551" t="s">
        <v>42</v>
      </c>
      <c r="Q551" s="3"/>
      <c r="R551" s="3"/>
      <c r="S551" s="3"/>
      <c r="T551" t="s">
        <v>36</v>
      </c>
      <c r="V551" s="3"/>
      <c r="W551" s="3"/>
      <c r="X551" s="3"/>
      <c r="Y551" s="3"/>
      <c r="Z551" s="3"/>
      <c r="AA551" s="3"/>
      <c r="AB551" s="3"/>
    </row>
    <row r="552" spans="1:29" x14ac:dyDescent="0.3">
      <c r="A552" s="2" t="str">
        <f>HYPERLINK("https://www.cadth.ca/abatacept-1", "Orencia")</f>
        <v>Orencia</v>
      </c>
      <c r="B552" t="s">
        <v>1786</v>
      </c>
      <c r="C552" t="s">
        <v>84</v>
      </c>
      <c r="D552" t="s">
        <v>1703</v>
      </c>
      <c r="E552" t="s">
        <v>40</v>
      </c>
      <c r="F552" s="3">
        <v>40149</v>
      </c>
      <c r="G552" s="3">
        <v>40346</v>
      </c>
      <c r="H552" t="s">
        <v>1788</v>
      </c>
      <c r="I552" t="s">
        <v>33</v>
      </c>
      <c r="N552" s="3"/>
      <c r="O552" t="s">
        <v>42</v>
      </c>
      <c r="Q552" s="3"/>
      <c r="R552" s="3"/>
      <c r="S552" s="3"/>
      <c r="T552" t="s">
        <v>142</v>
      </c>
      <c r="V552" s="3"/>
      <c r="W552" s="3"/>
      <c r="X552" s="3"/>
      <c r="Y552" s="3"/>
      <c r="Z552" s="3"/>
      <c r="AA552" s="3"/>
      <c r="AB552" s="3"/>
    </row>
    <row r="553" spans="1:29" x14ac:dyDescent="0.3">
      <c r="A553" s="2" t="str">
        <f>HYPERLINK("https://www.cadth.ca/abatacept-0", "Orencia")</f>
        <v>Orencia</v>
      </c>
      <c r="B553" t="s">
        <v>1786</v>
      </c>
      <c r="C553" t="s">
        <v>1789</v>
      </c>
      <c r="D553" t="s">
        <v>46</v>
      </c>
      <c r="E553" t="s">
        <v>40</v>
      </c>
      <c r="F553" s="3">
        <v>39689</v>
      </c>
      <c r="G553" s="3">
        <v>39925</v>
      </c>
      <c r="H553" t="s">
        <v>1790</v>
      </c>
      <c r="I553" t="s">
        <v>33</v>
      </c>
      <c r="N553" s="3"/>
      <c r="O553" t="s">
        <v>42</v>
      </c>
      <c r="Q553" s="3"/>
      <c r="R553" s="3"/>
      <c r="S553" s="3"/>
      <c r="T553" t="s">
        <v>36</v>
      </c>
      <c r="V553" s="3"/>
      <c r="W553" s="3"/>
      <c r="X553" s="3"/>
      <c r="Y553" s="3"/>
      <c r="Z553" s="3"/>
      <c r="AA553" s="3"/>
      <c r="AB553" s="3"/>
    </row>
    <row r="554" spans="1:29" x14ac:dyDescent="0.3">
      <c r="A554" s="2" t="str">
        <f>HYPERLINK("https://www.cadth.ca/abatacept-2", "Orencia")</f>
        <v>Orencia</v>
      </c>
      <c r="B554" t="s">
        <v>1786</v>
      </c>
      <c r="C554" t="s">
        <v>78</v>
      </c>
      <c r="D554" t="s">
        <v>46</v>
      </c>
      <c r="E554" t="s">
        <v>40</v>
      </c>
      <c r="F554" s="3">
        <v>41242</v>
      </c>
      <c r="G554" s="3">
        <v>41473</v>
      </c>
      <c r="H554" t="s">
        <v>1791</v>
      </c>
      <c r="I554" t="s">
        <v>33</v>
      </c>
      <c r="N554" s="3"/>
      <c r="O554" t="s">
        <v>42</v>
      </c>
      <c r="Q554" s="3"/>
      <c r="R554" s="3"/>
      <c r="S554" s="3"/>
      <c r="T554" t="s">
        <v>36</v>
      </c>
      <c r="V554" s="3"/>
      <c r="W554" s="3"/>
      <c r="X554" s="3"/>
      <c r="Y554" s="3"/>
      <c r="Z554" s="3"/>
      <c r="AA554" s="3"/>
      <c r="AB554" s="3"/>
    </row>
    <row r="555" spans="1:29" x14ac:dyDescent="0.3">
      <c r="A555" s="2" t="str">
        <f>HYPERLINK("https://www.cadth.ca/nitisinone", "Orfadin")</f>
        <v>Orfadin</v>
      </c>
      <c r="B555" t="s">
        <v>1537</v>
      </c>
      <c r="C555" t="s">
        <v>1538</v>
      </c>
      <c r="D555" t="s">
        <v>55</v>
      </c>
      <c r="E555" t="s">
        <v>40</v>
      </c>
      <c r="F555" s="3">
        <v>42976</v>
      </c>
      <c r="G555" s="3">
        <v>43152</v>
      </c>
      <c r="H555" t="s">
        <v>1792</v>
      </c>
      <c r="I555" t="s">
        <v>33</v>
      </c>
      <c r="N555" s="3"/>
      <c r="O555" t="s">
        <v>1793</v>
      </c>
      <c r="Q555" s="3"/>
      <c r="R555" s="3"/>
      <c r="S555" s="3"/>
      <c r="T555" t="s">
        <v>36</v>
      </c>
      <c r="V555" s="3"/>
      <c r="W555" s="3"/>
      <c r="X555" s="3"/>
      <c r="Y555" s="3"/>
      <c r="Z555" s="3"/>
      <c r="AA555" s="3"/>
      <c r="AB555" s="3"/>
    </row>
    <row r="556" spans="1:29" x14ac:dyDescent="0.3">
      <c r="A556" s="2" t="str">
        <f>HYPERLINK("https://www.cadth.ca/orilissa-elagolix", "Orilissa")</f>
        <v>Orilissa</v>
      </c>
      <c r="B556" t="s">
        <v>1794</v>
      </c>
      <c r="D556" t="s">
        <v>577</v>
      </c>
      <c r="E556" t="s">
        <v>578</v>
      </c>
      <c r="F556" s="3"/>
      <c r="G556" s="3"/>
      <c r="H556" t="s">
        <v>391</v>
      </c>
      <c r="I556" t="s">
        <v>33</v>
      </c>
      <c r="N556" s="3"/>
      <c r="O556" t="s">
        <v>725</v>
      </c>
      <c r="Q556" s="3"/>
      <c r="R556" s="3"/>
      <c r="S556" s="3"/>
      <c r="T556" t="s">
        <v>579</v>
      </c>
      <c r="V556" s="3"/>
      <c r="W556" s="3"/>
      <c r="X556" s="3"/>
      <c r="Y556" s="3"/>
      <c r="Z556" s="3"/>
      <c r="AA556" s="3"/>
      <c r="AB556" s="3"/>
    </row>
    <row r="557" spans="1:29" x14ac:dyDescent="0.3">
      <c r="A557" s="2" t="str">
        <f>HYPERLINK("https://www.cadth.ca/lumacaftorivacaftor-0", "Orkambi")</f>
        <v>Orkambi</v>
      </c>
      <c r="B557" t="s">
        <v>1795</v>
      </c>
      <c r="C557" t="s">
        <v>1796</v>
      </c>
      <c r="D557" t="s">
        <v>127</v>
      </c>
      <c r="E557" t="s">
        <v>40</v>
      </c>
      <c r="F557" s="3">
        <v>43153</v>
      </c>
      <c r="G557" s="3">
        <v>43369</v>
      </c>
      <c r="H557" t="s">
        <v>1797</v>
      </c>
      <c r="I557" t="s">
        <v>33</v>
      </c>
      <c r="N557" s="3"/>
      <c r="O557" t="s">
        <v>1279</v>
      </c>
      <c r="Q557" s="3"/>
      <c r="R557" s="3"/>
      <c r="S557" s="3"/>
      <c r="T557" t="s">
        <v>36</v>
      </c>
      <c r="V557" s="3"/>
      <c r="W557" s="3"/>
      <c r="X557" s="3"/>
      <c r="Y557" s="3"/>
      <c r="Z557" s="3"/>
      <c r="AA557" s="3"/>
      <c r="AB557" s="3"/>
    </row>
    <row r="558" spans="1:29" x14ac:dyDescent="0.3">
      <c r="A558" s="2" t="str">
        <f>HYPERLINK("https://www.cadth.ca/lumacaftorivacaftor", "Orkambi")</f>
        <v>Orkambi</v>
      </c>
      <c r="B558" t="s">
        <v>1795</v>
      </c>
      <c r="C558" t="s">
        <v>1798</v>
      </c>
      <c r="D558" t="s">
        <v>127</v>
      </c>
      <c r="E558" t="s">
        <v>40</v>
      </c>
      <c r="F558" s="3">
        <v>42397</v>
      </c>
      <c r="G558" s="3">
        <v>42669</v>
      </c>
      <c r="H558" t="s">
        <v>1799</v>
      </c>
      <c r="I558" t="s">
        <v>33</v>
      </c>
      <c r="N558" s="3"/>
      <c r="O558" t="s">
        <v>1800</v>
      </c>
      <c r="Q558" s="3"/>
      <c r="R558" s="3"/>
      <c r="S558" s="3"/>
      <c r="T558" t="s">
        <v>36</v>
      </c>
      <c r="V558" s="3"/>
      <c r="W558" s="3"/>
      <c r="X558" s="3"/>
      <c r="Y558" s="3"/>
      <c r="Z558" s="3"/>
      <c r="AA558" s="3"/>
      <c r="AB558" s="3"/>
    </row>
    <row r="559" spans="1:29" x14ac:dyDescent="0.3">
      <c r="A559" s="2" t="str">
        <f>HYPERLINK("https://www.cadth.ca/ospemifene", "Osphena")</f>
        <v>Osphena</v>
      </c>
      <c r="B559" t="s">
        <v>1801</v>
      </c>
      <c r="C559" t="s">
        <v>1802</v>
      </c>
      <c r="E559" t="s">
        <v>737</v>
      </c>
      <c r="F559" s="3"/>
      <c r="G559" s="3"/>
      <c r="H559" t="s">
        <v>1803</v>
      </c>
      <c r="I559" t="s">
        <v>33</v>
      </c>
      <c r="N559" s="3"/>
      <c r="O559" t="s">
        <v>1548</v>
      </c>
      <c r="Q559" s="3"/>
      <c r="R559" s="3"/>
      <c r="S559" s="3"/>
      <c r="V559" s="3"/>
      <c r="W559" s="3"/>
      <c r="X559" s="3"/>
      <c r="Y559" s="3"/>
      <c r="Z559" s="3"/>
      <c r="AA559" s="3"/>
      <c r="AB559" s="3"/>
    </row>
    <row r="560" spans="1:29" x14ac:dyDescent="0.3">
      <c r="A560" s="2" t="str">
        <f>HYPERLINK("https://www.cadth.ca/apremilast", "Otezla")</f>
        <v>Otezla</v>
      </c>
      <c r="B560" t="s">
        <v>1804</v>
      </c>
      <c r="C560" t="s">
        <v>607</v>
      </c>
      <c r="D560" t="s">
        <v>39</v>
      </c>
      <c r="E560" t="s">
        <v>40</v>
      </c>
      <c r="F560" s="3">
        <v>41920</v>
      </c>
      <c r="G560" s="3">
        <v>42207</v>
      </c>
      <c r="H560" t="s">
        <v>1805</v>
      </c>
      <c r="I560" t="s">
        <v>33</v>
      </c>
      <c r="N560" s="3"/>
      <c r="O560" t="s">
        <v>1806</v>
      </c>
      <c r="Q560" s="3"/>
      <c r="R560" s="3"/>
      <c r="S560" s="3"/>
      <c r="T560" t="s">
        <v>36</v>
      </c>
      <c r="V560" s="3"/>
      <c r="W560" s="3"/>
      <c r="X560" s="3"/>
      <c r="Y560" s="3"/>
      <c r="Z560" s="3"/>
      <c r="AA560" s="3"/>
      <c r="AB560" s="3"/>
    </row>
    <row r="561" spans="1:29" x14ac:dyDescent="0.3">
      <c r="A561" s="2" t="str">
        <f>HYPERLINK("https://www.cadth.ca/apremilast-0", "Otezla")</f>
        <v>Otezla</v>
      </c>
      <c r="B561" t="s">
        <v>1804</v>
      </c>
      <c r="C561" t="s">
        <v>555</v>
      </c>
      <c r="D561" t="s">
        <v>50</v>
      </c>
      <c r="E561" t="s">
        <v>40</v>
      </c>
      <c r="F561" s="3">
        <v>42163</v>
      </c>
      <c r="G561" s="3">
        <v>42355</v>
      </c>
      <c r="H561" t="s">
        <v>1807</v>
      </c>
      <c r="I561" t="s">
        <v>33</v>
      </c>
      <c r="N561" s="3"/>
      <c r="O561" t="s">
        <v>1806</v>
      </c>
      <c r="Q561" s="3"/>
      <c r="R561" s="3"/>
      <c r="S561" s="3"/>
      <c r="T561" t="s">
        <v>36</v>
      </c>
      <c r="V561" s="3"/>
      <c r="W561" s="3"/>
      <c r="X561" s="3"/>
      <c r="Y561" s="3"/>
      <c r="Z561" s="3"/>
      <c r="AA561" s="3"/>
      <c r="AB561" s="3"/>
    </row>
    <row r="562" spans="1:29" x14ac:dyDescent="0.3">
      <c r="A562" s="2" t="str">
        <f>HYPERLINK("https://www.cadth.ca/apremilast-1", "Otezla")</f>
        <v>Otezla</v>
      </c>
      <c r="B562" t="s">
        <v>1804</v>
      </c>
      <c r="C562" t="s">
        <v>558</v>
      </c>
      <c r="D562" t="s">
        <v>55</v>
      </c>
      <c r="E562" t="s">
        <v>40</v>
      </c>
      <c r="F562" s="3">
        <v>42432</v>
      </c>
      <c r="G562" s="3">
        <v>42669</v>
      </c>
      <c r="H562" t="s">
        <v>1808</v>
      </c>
      <c r="I562" t="s">
        <v>33</v>
      </c>
      <c r="N562" s="3"/>
      <c r="O562" t="s">
        <v>1806</v>
      </c>
      <c r="Q562" s="3"/>
      <c r="R562" s="3"/>
      <c r="S562" s="3"/>
      <c r="T562" t="s">
        <v>142</v>
      </c>
      <c r="V562" s="3"/>
      <c r="W562" s="3"/>
      <c r="X562" s="3"/>
      <c r="Y562" s="3"/>
      <c r="Z562" s="3"/>
      <c r="AA562" s="3"/>
      <c r="AB562" s="3"/>
    </row>
    <row r="563" spans="1:29" x14ac:dyDescent="0.3">
      <c r="A563" s="2" t="str">
        <f>HYPERLINK("https://www.cadth.ca/cenegermin", "Oxervate")</f>
        <v>Oxervate</v>
      </c>
      <c r="B563" t="s">
        <v>1809</v>
      </c>
      <c r="C563" t="s">
        <v>1810</v>
      </c>
      <c r="E563" t="s">
        <v>737</v>
      </c>
      <c r="F563" s="3"/>
      <c r="G563" s="3"/>
      <c r="H563" t="s">
        <v>1811</v>
      </c>
      <c r="I563" t="s">
        <v>33</v>
      </c>
      <c r="N563" s="3"/>
      <c r="O563" t="s">
        <v>1812</v>
      </c>
      <c r="Q563" s="3"/>
      <c r="R563" s="3"/>
      <c r="S563" s="3"/>
      <c r="T563" t="s">
        <v>36</v>
      </c>
      <c r="V563" s="3"/>
      <c r="W563" s="3"/>
      <c r="X563" s="3"/>
      <c r="Y563" s="3"/>
      <c r="Z563" s="3"/>
      <c r="AA563" s="3"/>
      <c r="AB563" s="3"/>
    </row>
    <row r="564" spans="1:29" x14ac:dyDescent="0.3">
      <c r="A564" s="2" t="str">
        <f>HYPERLINK("https://www.cadth.ca/ozenoxacin", "Ozanex")</f>
        <v>Ozanex</v>
      </c>
      <c r="B564" t="s">
        <v>1813</v>
      </c>
      <c r="C564" t="s">
        <v>1814</v>
      </c>
      <c r="D564" t="s">
        <v>127</v>
      </c>
      <c r="E564" t="s">
        <v>40</v>
      </c>
      <c r="F564" s="3">
        <v>43125</v>
      </c>
      <c r="G564" s="3">
        <v>43397</v>
      </c>
      <c r="H564" t="s">
        <v>1815</v>
      </c>
      <c r="I564" t="s">
        <v>33</v>
      </c>
      <c r="N564" s="3"/>
      <c r="O564" t="s">
        <v>1816</v>
      </c>
      <c r="Q564" s="3"/>
      <c r="R564" s="3"/>
      <c r="S564" s="3"/>
      <c r="T564" t="s">
        <v>36</v>
      </c>
      <c r="V564" s="3"/>
      <c r="W564" s="3"/>
      <c r="X564" s="3"/>
      <c r="Y564" s="3"/>
      <c r="Z564" s="3"/>
      <c r="AA564" s="3"/>
      <c r="AB564" s="3"/>
    </row>
    <row r="565" spans="1:29" x14ac:dyDescent="0.3">
      <c r="A565" s="2" t="str">
        <f>HYPERLINK("https://www.cadth.ca/semaglutide", "Ozempic")</f>
        <v>Ozempic</v>
      </c>
      <c r="B565" t="s">
        <v>1817</v>
      </c>
      <c r="C565" t="s">
        <v>496</v>
      </c>
      <c r="D565" t="s">
        <v>55</v>
      </c>
      <c r="E565" t="s">
        <v>40</v>
      </c>
      <c r="F565" s="3">
        <v>43427</v>
      </c>
      <c r="G565" s="3">
        <v>43600</v>
      </c>
      <c r="H565" t="s">
        <v>1818</v>
      </c>
      <c r="I565" t="s">
        <v>33</v>
      </c>
      <c r="N565" s="3"/>
      <c r="O565" t="s">
        <v>1433</v>
      </c>
      <c r="Q565" s="3"/>
      <c r="R565" s="3"/>
      <c r="S565" s="3"/>
      <c r="T565" t="s">
        <v>36</v>
      </c>
      <c r="V565" s="3"/>
      <c r="W565" s="3"/>
      <c r="X565" s="3"/>
      <c r="Y565" s="3"/>
      <c r="Z565" s="3"/>
      <c r="AA565" s="3"/>
      <c r="AB565" s="3"/>
    </row>
    <row r="566" spans="1:29" x14ac:dyDescent="0.3">
      <c r="A566" s="2" t="str">
        <f>HYPERLINK("https://www.cadth.ca/dexamethasone-intravitreal-implant", "Ozurdex")</f>
        <v>Ozurdex</v>
      </c>
      <c r="B566" t="s">
        <v>1819</v>
      </c>
      <c r="C566" t="s">
        <v>877</v>
      </c>
      <c r="D566" t="s">
        <v>39</v>
      </c>
      <c r="E566" t="s">
        <v>40</v>
      </c>
      <c r="F566" s="3">
        <v>40787</v>
      </c>
      <c r="G566" s="3">
        <v>41024</v>
      </c>
      <c r="H566" t="s">
        <v>1820</v>
      </c>
      <c r="I566" t="s">
        <v>33</v>
      </c>
      <c r="N566" s="3"/>
      <c r="O566" t="s">
        <v>1821</v>
      </c>
      <c r="Q566" s="3"/>
      <c r="R566" s="3"/>
      <c r="S566" s="3"/>
      <c r="T566" t="s">
        <v>36</v>
      </c>
      <c r="V566" s="3"/>
      <c r="W566" s="3"/>
      <c r="X566" s="3"/>
      <c r="Y566" s="3"/>
      <c r="Z566" s="3"/>
      <c r="AA566" s="3"/>
      <c r="AB566" s="3"/>
    </row>
    <row r="567" spans="1:29" x14ac:dyDescent="0.3">
      <c r="A567" s="2" t="str">
        <f>HYPERLINK("https://www.cadth.ca/dexamethasone", "Ozurdex")</f>
        <v>Ozurdex</v>
      </c>
      <c r="B567" t="s">
        <v>1822</v>
      </c>
      <c r="C567" t="s">
        <v>1823</v>
      </c>
      <c r="D567" t="s">
        <v>127</v>
      </c>
      <c r="E567" t="s">
        <v>40</v>
      </c>
      <c r="F567" s="3">
        <v>43004</v>
      </c>
      <c r="G567" s="3">
        <v>43397</v>
      </c>
      <c r="H567" t="s">
        <v>1824</v>
      </c>
      <c r="I567" t="s">
        <v>33</v>
      </c>
      <c r="N567" s="3"/>
      <c r="O567" t="s">
        <v>434</v>
      </c>
      <c r="Q567" s="3"/>
      <c r="R567" s="3"/>
      <c r="S567" s="3"/>
      <c r="T567" t="s">
        <v>36</v>
      </c>
      <c r="V567" s="3"/>
      <c r="W567" s="3"/>
      <c r="X567" s="3"/>
      <c r="Y567" s="3"/>
      <c r="Z567" s="3"/>
      <c r="AA567" s="3"/>
      <c r="AB567" s="3"/>
    </row>
    <row r="568" spans="1:29" x14ac:dyDescent="0.3">
      <c r="A568" s="2" t="str">
        <f>HYPERLINK("https://www.cadth.ca/pantoprazole-magnesium", "Pantoloc M")</f>
        <v>Pantoloc M</v>
      </c>
      <c r="B568" t="s">
        <v>1825</v>
      </c>
      <c r="C568" t="s">
        <v>1826</v>
      </c>
      <c r="D568" t="s">
        <v>262</v>
      </c>
      <c r="E568" t="s">
        <v>40</v>
      </c>
      <c r="F568" s="3">
        <v>38793</v>
      </c>
      <c r="G568" s="3">
        <v>38918</v>
      </c>
      <c r="H568" t="s">
        <v>1827</v>
      </c>
      <c r="I568" t="s">
        <v>33</v>
      </c>
      <c r="N568" s="3"/>
      <c r="O568" t="s">
        <v>250</v>
      </c>
      <c r="Q568" s="3"/>
      <c r="R568" s="3"/>
      <c r="S568" s="3"/>
      <c r="T568" t="s">
        <v>36</v>
      </c>
      <c r="V568" s="3"/>
      <c r="W568" s="3"/>
      <c r="X568" s="3"/>
      <c r="Y568" s="3"/>
      <c r="Z568" s="3"/>
      <c r="AA568" s="3"/>
      <c r="AB568" s="3"/>
    </row>
    <row r="569" spans="1:29" x14ac:dyDescent="0.3">
      <c r="A569" s="2" t="str">
        <f>HYPERLINK("https://www.cadth.ca/levetiracetam", "pdp-levETIRAcetam")</f>
        <v>pdp-levETIRAcetam</v>
      </c>
      <c r="B569" t="s">
        <v>1828</v>
      </c>
      <c r="C569" t="s">
        <v>1829</v>
      </c>
      <c r="D569" t="s">
        <v>55</v>
      </c>
      <c r="E569" t="s">
        <v>40</v>
      </c>
      <c r="F569" s="3">
        <v>44029</v>
      </c>
      <c r="G569" s="3">
        <v>44230</v>
      </c>
      <c r="H569" t="s">
        <v>1830</v>
      </c>
      <c r="I569" t="s">
        <v>33</v>
      </c>
      <c r="N569" s="3"/>
      <c r="O569" t="s">
        <v>1582</v>
      </c>
      <c r="Q569" s="3"/>
      <c r="R569" s="3"/>
      <c r="S569" s="3"/>
      <c r="T569" t="s">
        <v>36</v>
      </c>
      <c r="V569" s="3"/>
      <c r="W569" s="3"/>
      <c r="X569" s="3"/>
      <c r="Y569" s="3"/>
      <c r="Z569" s="3"/>
      <c r="AA569" s="3"/>
      <c r="AB569" s="3"/>
    </row>
    <row r="570" spans="1:29" x14ac:dyDescent="0.3">
      <c r="A570" s="2" t="str">
        <f>HYPERLINK("https://www.cadth.ca/peginterferon-alfa-2a-and-ribavirin", "Pegasys RBV")</f>
        <v>Pegasys RBV</v>
      </c>
      <c r="B570" t="s">
        <v>1831</v>
      </c>
      <c r="C570" t="s">
        <v>825</v>
      </c>
      <c r="D570" t="s">
        <v>262</v>
      </c>
      <c r="E570" t="s">
        <v>40</v>
      </c>
      <c r="F570" s="3">
        <v>38121</v>
      </c>
      <c r="G570" s="3">
        <v>38274</v>
      </c>
      <c r="H570" t="s">
        <v>1832</v>
      </c>
      <c r="I570" t="s">
        <v>33</v>
      </c>
      <c r="N570" s="3"/>
      <c r="O570" t="s">
        <v>77</v>
      </c>
      <c r="Q570" s="3"/>
      <c r="R570" s="3"/>
      <c r="S570" s="3"/>
      <c r="T570" t="s">
        <v>36</v>
      </c>
      <c r="V570" s="3"/>
      <c r="W570" s="3"/>
      <c r="X570" s="3"/>
      <c r="Y570" s="3"/>
      <c r="Z570" s="3"/>
      <c r="AA570" s="3"/>
      <c r="AB570" s="3"/>
    </row>
    <row r="571" spans="1:29" x14ac:dyDescent="0.3">
      <c r="A571" s="2" t="str">
        <f>HYPERLINK("https://www.cadth.ca/pemigatinib", "Pemazyre")</f>
        <v>Pemazyre</v>
      </c>
      <c r="B571" t="s">
        <v>1833</v>
      </c>
      <c r="C571" t="s">
        <v>1834</v>
      </c>
      <c r="E571" t="s">
        <v>31</v>
      </c>
      <c r="F571" s="3">
        <v>44370</v>
      </c>
      <c r="G571" s="3"/>
      <c r="H571" t="s">
        <v>1835</v>
      </c>
      <c r="I571" t="s">
        <v>33</v>
      </c>
      <c r="K571" t="s">
        <v>58</v>
      </c>
      <c r="N571" s="3"/>
      <c r="O571" t="s">
        <v>1836</v>
      </c>
      <c r="Q571" s="3"/>
      <c r="R571" s="3"/>
      <c r="S571" s="3"/>
      <c r="T571" t="s">
        <v>36</v>
      </c>
      <c r="V571" s="3"/>
      <c r="W571" s="3"/>
      <c r="X571" s="3"/>
      <c r="Y571" s="3"/>
      <c r="Z571" s="3"/>
      <c r="AA571" s="3"/>
      <c r="AB571" s="3"/>
    </row>
    <row r="572" spans="1:29" x14ac:dyDescent="0.3">
      <c r="A572" s="2" t="str">
        <f>HYPERLINK("https://www.cadth.ca/pertuzumab", "Perjeta")</f>
        <v>Perjeta</v>
      </c>
      <c r="B572" t="s">
        <v>1837</v>
      </c>
      <c r="C572" t="s">
        <v>1838</v>
      </c>
      <c r="E572" t="s">
        <v>31</v>
      </c>
      <c r="F572" s="3">
        <v>44300</v>
      </c>
      <c r="G572" s="3"/>
      <c r="H572" t="s">
        <v>1839</v>
      </c>
      <c r="I572" t="s">
        <v>33</v>
      </c>
      <c r="K572" t="s">
        <v>177</v>
      </c>
      <c r="N572" s="3"/>
      <c r="O572" t="s">
        <v>80</v>
      </c>
      <c r="Q572" s="3"/>
      <c r="R572" s="3"/>
      <c r="S572" s="3"/>
      <c r="T572" t="s">
        <v>36</v>
      </c>
      <c r="V572" s="3"/>
      <c r="W572" s="3"/>
      <c r="X572" s="3"/>
      <c r="Y572" s="3"/>
      <c r="Z572" s="3"/>
      <c r="AA572" s="3"/>
      <c r="AB572" s="3"/>
    </row>
    <row r="573" spans="1:29" x14ac:dyDescent="0.3">
      <c r="A573" s="2" t="str">
        <f>HYPERLINK("https://www.cadth.ca/node/79662", "Perjeta Herceptin Combo Pack")</f>
        <v>Perjeta Herceptin Combo Pack</v>
      </c>
      <c r="B573" t="s">
        <v>1840</v>
      </c>
      <c r="C573" t="s">
        <v>1016</v>
      </c>
      <c r="D573" t="s">
        <v>55</v>
      </c>
      <c r="E573" t="s">
        <v>40</v>
      </c>
      <c r="F573" s="3">
        <v>41215</v>
      </c>
      <c r="G573" s="3">
        <v>41487</v>
      </c>
      <c r="H573" t="s">
        <v>1841</v>
      </c>
      <c r="I573" t="s">
        <v>33</v>
      </c>
      <c r="J573" t="s">
        <v>1842</v>
      </c>
      <c r="K573" t="s">
        <v>177</v>
      </c>
      <c r="L573" t="s">
        <v>1843</v>
      </c>
      <c r="M573" t="s">
        <v>60</v>
      </c>
      <c r="N573" s="3">
        <v>41376</v>
      </c>
      <c r="O573" t="s">
        <v>80</v>
      </c>
      <c r="P573" t="s">
        <v>80</v>
      </c>
      <c r="Q573" s="3"/>
      <c r="R573" s="3"/>
      <c r="S573" s="3">
        <v>41235</v>
      </c>
      <c r="U573" t="s">
        <v>62</v>
      </c>
      <c r="V573" s="3">
        <v>41232</v>
      </c>
      <c r="W573" s="3">
        <v>41290</v>
      </c>
      <c r="X573" s="3">
        <v>41410</v>
      </c>
      <c r="Y573" s="3">
        <v>41425</v>
      </c>
      <c r="Z573" s="3">
        <v>41439</v>
      </c>
      <c r="AA573" s="3"/>
      <c r="AB573" s="3">
        <v>41505</v>
      </c>
      <c r="AC573" t="s">
        <v>63</v>
      </c>
    </row>
    <row r="574" spans="1:29" x14ac:dyDescent="0.3">
      <c r="A574" s="2" t="str">
        <f>HYPERLINK("https://www.cadth.ca/node/108383", "Perjeta-Herceptin Combo Pack")</f>
        <v>Perjeta-Herceptin Combo Pack</v>
      </c>
      <c r="B574" t="s">
        <v>1844</v>
      </c>
      <c r="C574" t="s">
        <v>1845</v>
      </c>
      <c r="D574" t="s">
        <v>127</v>
      </c>
      <c r="E574" t="s">
        <v>40</v>
      </c>
      <c r="F574" s="3">
        <v>43199</v>
      </c>
      <c r="G574" s="3">
        <v>43433</v>
      </c>
      <c r="H574" t="s">
        <v>1846</v>
      </c>
      <c r="I574" t="s">
        <v>33</v>
      </c>
      <c r="J574" t="s">
        <v>1847</v>
      </c>
      <c r="K574" t="s">
        <v>177</v>
      </c>
      <c r="L574" t="s">
        <v>1848</v>
      </c>
      <c r="M574" t="s">
        <v>60</v>
      </c>
      <c r="N574" s="3">
        <v>43342</v>
      </c>
      <c r="O574" t="s">
        <v>80</v>
      </c>
      <c r="P574" t="s">
        <v>80</v>
      </c>
      <c r="Q574" s="3"/>
      <c r="R574" s="3"/>
      <c r="S574" s="3">
        <v>43206</v>
      </c>
      <c r="U574" t="s">
        <v>214</v>
      </c>
      <c r="V574" s="3">
        <v>43213</v>
      </c>
      <c r="W574" s="3">
        <v>43270</v>
      </c>
      <c r="X574" s="3">
        <v>43363</v>
      </c>
      <c r="Y574" s="3">
        <v>43377</v>
      </c>
      <c r="Z574" s="3">
        <v>43392</v>
      </c>
      <c r="AA574" s="3"/>
      <c r="AB574" s="3">
        <v>43448</v>
      </c>
    </row>
    <row r="575" spans="1:29" x14ac:dyDescent="0.3">
      <c r="A575" s="2" t="str">
        <f>HYPERLINK("https://www.cadth.ca/node/79663", "Perjeta or Perjeta-Herceptin Combo Pack")</f>
        <v>Perjeta or Perjeta-Herceptin Combo Pack</v>
      </c>
      <c r="B575" t="s">
        <v>1840</v>
      </c>
      <c r="C575" t="s">
        <v>1849</v>
      </c>
      <c r="D575" t="s">
        <v>127</v>
      </c>
      <c r="E575" t="s">
        <v>40</v>
      </c>
      <c r="F575" s="3">
        <v>41992</v>
      </c>
      <c r="G575" s="3">
        <v>42201</v>
      </c>
      <c r="H575" t="s">
        <v>1850</v>
      </c>
      <c r="I575" t="s">
        <v>33</v>
      </c>
      <c r="J575" t="s">
        <v>1851</v>
      </c>
      <c r="K575" t="s">
        <v>177</v>
      </c>
      <c r="L575" t="s">
        <v>1852</v>
      </c>
      <c r="M575" t="s">
        <v>60</v>
      </c>
      <c r="N575" s="3"/>
      <c r="O575" t="s">
        <v>80</v>
      </c>
      <c r="P575" t="s">
        <v>80</v>
      </c>
      <c r="Q575" s="3"/>
      <c r="R575" s="3"/>
      <c r="S575" s="3">
        <v>42009</v>
      </c>
      <c r="U575" t="s">
        <v>214</v>
      </c>
      <c r="V575" s="3">
        <v>42016</v>
      </c>
      <c r="W575" s="3">
        <v>42052</v>
      </c>
      <c r="X575" s="3">
        <v>42111</v>
      </c>
      <c r="Y575" s="3">
        <v>42124</v>
      </c>
      <c r="Z575" s="3">
        <v>42138</v>
      </c>
      <c r="AA575" s="3"/>
      <c r="AB575" s="3">
        <v>42216</v>
      </c>
      <c r="AC575" t="s">
        <v>1853</v>
      </c>
    </row>
    <row r="576" spans="1:29" x14ac:dyDescent="0.3">
      <c r="A576" s="2" t="str">
        <f>HYPERLINK("https://www.cadth.ca/risperidone", "Perseris")</f>
        <v>Perseris</v>
      </c>
      <c r="B576" t="s">
        <v>1854</v>
      </c>
      <c r="C576" t="s">
        <v>1855</v>
      </c>
      <c r="D576" t="s">
        <v>55</v>
      </c>
      <c r="E576" t="s">
        <v>31</v>
      </c>
      <c r="F576" s="3">
        <v>44225</v>
      </c>
      <c r="G576" s="3"/>
      <c r="H576" t="s">
        <v>1856</v>
      </c>
      <c r="I576" t="s">
        <v>33</v>
      </c>
      <c r="N576" s="3"/>
      <c r="O576" t="s">
        <v>1857</v>
      </c>
      <c r="Q576" s="3"/>
      <c r="R576" s="3"/>
      <c r="S576" s="3"/>
      <c r="T576" t="s">
        <v>36</v>
      </c>
      <c r="V576" s="3"/>
      <c r="W576" s="3"/>
      <c r="X576" s="3"/>
      <c r="Y576" s="3"/>
      <c r="Z576" s="3"/>
      <c r="AA576" s="3"/>
      <c r="AB576" s="3"/>
    </row>
    <row r="577" spans="1:28" x14ac:dyDescent="0.3">
      <c r="A577" s="2" t="str">
        <f>HYPERLINK("https://www.cadth.ca/sodium-phenylbutyrate", "Pheburane")</f>
        <v>Pheburane</v>
      </c>
      <c r="B577" t="s">
        <v>1858</v>
      </c>
      <c r="C577" t="s">
        <v>1859</v>
      </c>
      <c r="D577" t="s">
        <v>160</v>
      </c>
      <c r="E577" t="s">
        <v>40</v>
      </c>
      <c r="F577" s="3">
        <v>42297</v>
      </c>
      <c r="G577" s="3">
        <v>42475</v>
      </c>
      <c r="H577" t="s">
        <v>1860</v>
      </c>
      <c r="I577" t="s">
        <v>33</v>
      </c>
      <c r="N577" s="3"/>
      <c r="O577" t="s">
        <v>1861</v>
      </c>
      <c r="Q577" s="3"/>
      <c r="R577" s="3"/>
      <c r="S577" s="3"/>
      <c r="T577" t="s">
        <v>36</v>
      </c>
      <c r="V577" s="3"/>
      <c r="W577" s="3"/>
      <c r="X577" s="3"/>
      <c r="Y577" s="3"/>
      <c r="Z577" s="3"/>
      <c r="AA577" s="3"/>
      <c r="AB577" s="3"/>
    </row>
    <row r="578" spans="1:28" x14ac:dyDescent="0.3">
      <c r="A578" s="2" t="str">
        <f>HYPERLINK("https://www.cadth.ca/ingenol-mebutate-0", "Picato")</f>
        <v>Picato</v>
      </c>
      <c r="B578" t="s">
        <v>1862</v>
      </c>
      <c r="C578" t="s">
        <v>1863</v>
      </c>
      <c r="E578" t="s">
        <v>40</v>
      </c>
      <c r="F578" s="3">
        <v>41785</v>
      </c>
      <c r="G578" s="3"/>
      <c r="H578" t="s">
        <v>1864</v>
      </c>
      <c r="I578" t="s">
        <v>33</v>
      </c>
      <c r="N578" s="3"/>
      <c r="O578" t="s">
        <v>1865</v>
      </c>
      <c r="Q578" s="3"/>
      <c r="R578" s="3"/>
      <c r="S578" s="3"/>
      <c r="T578" t="s">
        <v>49</v>
      </c>
      <c r="V578" s="3"/>
      <c r="W578" s="3"/>
      <c r="X578" s="3"/>
      <c r="Y578" s="3"/>
      <c r="Z578" s="3"/>
      <c r="AA578" s="3"/>
      <c r="AB578" s="3"/>
    </row>
    <row r="579" spans="1:28" x14ac:dyDescent="0.3">
      <c r="A579" s="2" t="str">
        <f>HYPERLINK("https://www.cadth.ca/ingenol-mebutate", "Picato")</f>
        <v>Picato</v>
      </c>
      <c r="B579" t="s">
        <v>1862</v>
      </c>
      <c r="C579" t="s">
        <v>1863</v>
      </c>
      <c r="D579" t="s">
        <v>39</v>
      </c>
      <c r="E579" t="s">
        <v>40</v>
      </c>
      <c r="F579" s="3">
        <v>41403</v>
      </c>
      <c r="G579" s="3">
        <v>41661</v>
      </c>
      <c r="H579" t="s">
        <v>1866</v>
      </c>
      <c r="I579" t="s">
        <v>33</v>
      </c>
      <c r="N579" s="3"/>
      <c r="O579" t="s">
        <v>1867</v>
      </c>
      <c r="Q579" s="3"/>
      <c r="R579" s="3"/>
      <c r="S579" s="3"/>
      <c r="T579" t="s">
        <v>36</v>
      </c>
      <c r="V579" s="3"/>
      <c r="W579" s="3"/>
      <c r="X579" s="3"/>
      <c r="Y579" s="3"/>
      <c r="Z579" s="3"/>
      <c r="AA579" s="3"/>
      <c r="AB579" s="3"/>
    </row>
    <row r="580" spans="1:28" x14ac:dyDescent="0.3">
      <c r="A580" s="2" t="str">
        <f>HYPERLINK("https://www.cadth.ca/doravirine", "Pifeltro")</f>
        <v>Pifeltro</v>
      </c>
      <c r="B580" t="s">
        <v>1868</v>
      </c>
      <c r="C580" t="s">
        <v>394</v>
      </c>
      <c r="D580" t="s">
        <v>55</v>
      </c>
      <c r="E580" t="s">
        <v>40</v>
      </c>
      <c r="F580" s="3">
        <v>43420</v>
      </c>
      <c r="G580" s="3">
        <v>43599</v>
      </c>
      <c r="H580" t="s">
        <v>1869</v>
      </c>
      <c r="I580" t="s">
        <v>33</v>
      </c>
      <c r="N580" s="3"/>
      <c r="O580" t="s">
        <v>289</v>
      </c>
      <c r="Q580" s="3"/>
      <c r="R580" s="3"/>
      <c r="S580" s="3"/>
      <c r="T580" t="s">
        <v>36</v>
      </c>
      <c r="V580" s="3"/>
      <c r="W580" s="3"/>
      <c r="X580" s="3"/>
      <c r="Y580" s="3"/>
      <c r="Z580" s="3"/>
      <c r="AA580" s="3"/>
      <c r="AB580" s="3"/>
    </row>
    <row r="581" spans="1:28" x14ac:dyDescent="0.3">
      <c r="A581" s="2" t="str">
        <f>HYPERLINK("https://www.cadth.ca/alpelisib", "Piqray")</f>
        <v>Piqray</v>
      </c>
      <c r="B581" t="s">
        <v>1870</v>
      </c>
      <c r="C581" t="s">
        <v>1266</v>
      </c>
      <c r="E581" t="s">
        <v>31</v>
      </c>
      <c r="F581" s="3">
        <v>44307</v>
      </c>
      <c r="G581" s="3"/>
      <c r="H581" t="s">
        <v>1871</v>
      </c>
      <c r="I581" t="s">
        <v>33</v>
      </c>
      <c r="K581" t="s">
        <v>177</v>
      </c>
      <c r="N581" s="3"/>
      <c r="O581" t="s">
        <v>71</v>
      </c>
      <c r="Q581" s="3"/>
      <c r="R581" s="3"/>
      <c r="S581" s="3"/>
      <c r="T581" t="s">
        <v>36</v>
      </c>
      <c r="V581" s="3"/>
      <c r="W581" s="3"/>
      <c r="X581" s="3"/>
      <c r="Y581" s="3"/>
      <c r="Z581" s="3"/>
      <c r="AA581" s="3"/>
      <c r="AB581" s="3"/>
    </row>
    <row r="582" spans="1:28" x14ac:dyDescent="0.3">
      <c r="A582" s="2" t="str">
        <f>HYPERLINK("https://www.cadth.ca/peginterferon-beta-1a", "Plegridy")</f>
        <v>Plegridy</v>
      </c>
      <c r="B582" t="s">
        <v>1872</v>
      </c>
      <c r="C582" t="s">
        <v>304</v>
      </c>
      <c r="D582" t="s">
        <v>50</v>
      </c>
      <c r="E582" t="s">
        <v>40</v>
      </c>
      <c r="F582" s="3">
        <v>42181</v>
      </c>
      <c r="G582" s="3">
        <v>42355</v>
      </c>
      <c r="H582" t="s">
        <v>1873</v>
      </c>
      <c r="I582" t="s">
        <v>33</v>
      </c>
      <c r="N582" s="3"/>
      <c r="O582" t="s">
        <v>1874</v>
      </c>
      <c r="Q582" s="3"/>
      <c r="R582" s="3"/>
      <c r="S582" s="3"/>
      <c r="T582" t="s">
        <v>36</v>
      </c>
      <c r="V582" s="3"/>
      <c r="W582" s="3"/>
      <c r="X582" s="3"/>
      <c r="Y582" s="3"/>
      <c r="Z582" s="3"/>
      <c r="AA582" s="3"/>
      <c r="AB582" s="3"/>
    </row>
    <row r="583" spans="1:28" x14ac:dyDescent="0.3">
      <c r="A583" s="2" t="str">
        <f>HYPERLINK("https://www.cadth.ca/node/122365", "Polivy")</f>
        <v>Polivy</v>
      </c>
      <c r="B583" t="s">
        <v>1875</v>
      </c>
      <c r="C583" t="s">
        <v>1876</v>
      </c>
      <c r="E583" t="s">
        <v>40</v>
      </c>
      <c r="F583" s="3">
        <v>44103</v>
      </c>
      <c r="G583" s="3">
        <v>44307</v>
      </c>
      <c r="H583" t="s">
        <v>1877</v>
      </c>
      <c r="I583" t="s">
        <v>33</v>
      </c>
      <c r="K583" t="s">
        <v>96</v>
      </c>
      <c r="L583" t="s">
        <v>1878</v>
      </c>
      <c r="N583" s="3">
        <v>44021</v>
      </c>
      <c r="O583" t="s">
        <v>80</v>
      </c>
      <c r="P583" t="s">
        <v>80</v>
      </c>
      <c r="Q583" s="3"/>
      <c r="R583" s="3"/>
      <c r="S583" s="3">
        <v>44120</v>
      </c>
      <c r="V583" s="3">
        <v>44118</v>
      </c>
      <c r="W583" s="3">
        <v>44168</v>
      </c>
      <c r="X583" s="3">
        <v>44273</v>
      </c>
      <c r="Y583" s="3">
        <v>44287</v>
      </c>
      <c r="Z583" s="3">
        <v>44302</v>
      </c>
      <c r="AA583" s="3"/>
      <c r="AB583" s="3">
        <v>44322</v>
      </c>
    </row>
    <row r="584" spans="1:28" x14ac:dyDescent="0.3">
      <c r="A584" s="2" t="str">
        <f>HYPERLINK("https://www.cadth.ca/node/79664", "Pomalyst")</f>
        <v>Pomalyst</v>
      </c>
      <c r="B584" t="s">
        <v>1879</v>
      </c>
      <c r="C584" t="s">
        <v>663</v>
      </c>
      <c r="D584" t="s">
        <v>55</v>
      </c>
      <c r="E584" t="s">
        <v>40</v>
      </c>
      <c r="F584" s="3">
        <v>41652</v>
      </c>
      <c r="G584" s="3">
        <v>41851</v>
      </c>
      <c r="H584" t="s">
        <v>1880</v>
      </c>
      <c r="I584" t="s">
        <v>33</v>
      </c>
      <c r="J584" t="s">
        <v>1881</v>
      </c>
      <c r="K584" t="s">
        <v>34</v>
      </c>
      <c r="L584" t="s">
        <v>1882</v>
      </c>
      <c r="M584" t="s">
        <v>60</v>
      </c>
      <c r="N584" s="3">
        <v>41659</v>
      </c>
      <c r="O584" t="s">
        <v>61</v>
      </c>
      <c r="P584" t="s">
        <v>61</v>
      </c>
      <c r="Q584" s="3"/>
      <c r="R584" s="3"/>
      <c r="S584" s="3">
        <v>41659</v>
      </c>
      <c r="U584" t="s">
        <v>62</v>
      </c>
      <c r="V584" s="3">
        <v>41666</v>
      </c>
      <c r="W584" s="3">
        <v>41716</v>
      </c>
      <c r="X584" s="3">
        <v>41774</v>
      </c>
      <c r="Y584" s="3">
        <v>41789</v>
      </c>
      <c r="Z584" s="3">
        <v>41803</v>
      </c>
      <c r="AA584" s="3"/>
      <c r="AB584" s="3">
        <v>41869</v>
      </c>
    </row>
    <row r="585" spans="1:28" x14ac:dyDescent="0.3">
      <c r="A585" s="2" t="str">
        <f>HYPERLINK("https://www.cadth.ca/node/113462", "Pomalyst")</f>
        <v>Pomalyst</v>
      </c>
      <c r="B585" t="s">
        <v>1879</v>
      </c>
      <c r="C585" t="s">
        <v>663</v>
      </c>
      <c r="D585" t="s">
        <v>55</v>
      </c>
      <c r="E585" t="s">
        <v>40</v>
      </c>
      <c r="F585" s="3">
        <v>43539</v>
      </c>
      <c r="G585" s="3">
        <v>43726</v>
      </c>
      <c r="H585" t="s">
        <v>1883</v>
      </c>
      <c r="I585" t="s">
        <v>33</v>
      </c>
      <c r="J585" t="s">
        <v>1884</v>
      </c>
      <c r="K585" t="s">
        <v>34</v>
      </c>
      <c r="L585" t="s">
        <v>1885</v>
      </c>
      <c r="M585" t="s">
        <v>60</v>
      </c>
      <c r="N585" s="3">
        <v>43648</v>
      </c>
      <c r="O585" t="s">
        <v>61</v>
      </c>
      <c r="P585" t="s">
        <v>61</v>
      </c>
      <c r="Q585" s="3"/>
      <c r="R585" s="3"/>
      <c r="S585" s="3">
        <v>43553</v>
      </c>
      <c r="V585" s="3">
        <v>43553</v>
      </c>
      <c r="W585" s="3">
        <v>43621</v>
      </c>
      <c r="X585" s="3">
        <v>43692</v>
      </c>
      <c r="Y585" s="3">
        <v>43706</v>
      </c>
      <c r="Z585" s="3">
        <v>43721</v>
      </c>
      <c r="AA585" s="3"/>
      <c r="AB585" s="3">
        <v>43741</v>
      </c>
    </row>
    <row r="586" spans="1:28" x14ac:dyDescent="0.3">
      <c r="A586" s="2" t="str">
        <f>HYPERLINK("https://www.cadth.ca/dabigatran-etexilate", "Pradaxa")</f>
        <v>Pradaxa</v>
      </c>
      <c r="B586" t="s">
        <v>1886</v>
      </c>
      <c r="C586" t="s">
        <v>1887</v>
      </c>
      <c r="D586" t="s">
        <v>39</v>
      </c>
      <c r="E586" t="s">
        <v>40</v>
      </c>
      <c r="F586" s="3">
        <v>39637</v>
      </c>
      <c r="G586" s="3">
        <v>39841</v>
      </c>
      <c r="H586" t="s">
        <v>1888</v>
      </c>
      <c r="I586" t="s">
        <v>33</v>
      </c>
      <c r="N586" s="3"/>
      <c r="O586" t="s">
        <v>1169</v>
      </c>
      <c r="Q586" s="3"/>
      <c r="R586" s="3"/>
      <c r="S586" s="3"/>
      <c r="T586" t="s">
        <v>36</v>
      </c>
      <c r="V586" s="3"/>
      <c r="W586" s="3"/>
      <c r="X586" s="3"/>
      <c r="Y586" s="3"/>
      <c r="Z586" s="3"/>
      <c r="AA586" s="3"/>
      <c r="AB586" s="3"/>
    </row>
    <row r="587" spans="1:28" x14ac:dyDescent="0.3">
      <c r="A587" s="2" t="str">
        <f>HYPERLINK("https://www.cadth.ca/dabigatran-etexilate-1", "Pradaxa")</f>
        <v>Pradaxa</v>
      </c>
      <c r="B587" t="s">
        <v>1886</v>
      </c>
      <c r="C587" t="s">
        <v>1889</v>
      </c>
      <c r="D587" t="s">
        <v>46</v>
      </c>
      <c r="E587" t="s">
        <v>40</v>
      </c>
      <c r="F587" s="3">
        <v>40479</v>
      </c>
      <c r="G587" s="3">
        <v>40716</v>
      </c>
      <c r="H587" t="s">
        <v>1890</v>
      </c>
      <c r="I587" t="s">
        <v>33</v>
      </c>
      <c r="N587" s="3"/>
      <c r="O587" t="s">
        <v>1891</v>
      </c>
      <c r="Q587" s="3"/>
      <c r="R587" s="3"/>
      <c r="S587" s="3"/>
      <c r="T587" t="s">
        <v>36</v>
      </c>
      <c r="V587" s="3"/>
      <c r="W587" s="3"/>
      <c r="X587" s="3"/>
      <c r="Y587" s="3"/>
      <c r="Z587" s="3"/>
      <c r="AA587" s="3"/>
      <c r="AB587" s="3"/>
    </row>
    <row r="588" spans="1:28" x14ac:dyDescent="0.3">
      <c r="A588" s="2" t="str">
        <f>HYPERLINK("https://www.cadth.ca/dabigatran-etexilate-0", "Pradaxa")</f>
        <v>Pradaxa</v>
      </c>
      <c r="B588" t="s">
        <v>1886</v>
      </c>
      <c r="C588" t="s">
        <v>1889</v>
      </c>
      <c r="E588" t="s">
        <v>154</v>
      </c>
      <c r="F588" s="3">
        <v>40329</v>
      </c>
      <c r="G588" s="3"/>
      <c r="H588" t="s">
        <v>1892</v>
      </c>
      <c r="I588" t="s">
        <v>33</v>
      </c>
      <c r="N588" s="3"/>
      <c r="O588" t="s">
        <v>1893</v>
      </c>
      <c r="Q588" s="3"/>
      <c r="R588" s="3"/>
      <c r="S588" s="3"/>
      <c r="T588" t="s">
        <v>36</v>
      </c>
      <c r="V588" s="3"/>
      <c r="W588" s="3"/>
      <c r="X588" s="3"/>
      <c r="Y588" s="3"/>
      <c r="Z588" s="3"/>
      <c r="AA588" s="3"/>
      <c r="AB588" s="3"/>
    </row>
    <row r="589" spans="1:28" x14ac:dyDescent="0.3">
      <c r="A589" s="2" t="str">
        <f>HYPERLINK("https://www.cadth.ca/dabigatran-etexilate-2", "Pradaxa")</f>
        <v>Pradaxa</v>
      </c>
      <c r="B589" t="s">
        <v>1886</v>
      </c>
      <c r="C589" t="s">
        <v>1889</v>
      </c>
      <c r="D589" t="s">
        <v>46</v>
      </c>
      <c r="E589" t="s">
        <v>40</v>
      </c>
      <c r="F589" s="3">
        <v>41351</v>
      </c>
      <c r="G589" s="3">
        <v>41473</v>
      </c>
      <c r="H589" t="s">
        <v>1894</v>
      </c>
      <c r="I589" t="s">
        <v>33</v>
      </c>
      <c r="N589" s="3"/>
      <c r="O589" t="s">
        <v>1895</v>
      </c>
      <c r="Q589" s="3"/>
      <c r="R589" s="3"/>
      <c r="S589" s="3"/>
      <c r="T589" t="s">
        <v>49</v>
      </c>
      <c r="V589" s="3"/>
      <c r="W589" s="3"/>
      <c r="X589" s="3"/>
      <c r="Y589" s="3"/>
      <c r="Z589" s="3"/>
      <c r="AA589" s="3"/>
      <c r="AB589" s="3"/>
    </row>
    <row r="590" spans="1:28" x14ac:dyDescent="0.3">
      <c r="A590" s="2" t="str">
        <f>HYPERLINK("https://www.cadth.ca/alirocumab", "Praluent")</f>
        <v>Praluent</v>
      </c>
      <c r="B590" t="s">
        <v>1896</v>
      </c>
      <c r="C590" t="s">
        <v>1897</v>
      </c>
      <c r="D590" t="s">
        <v>55</v>
      </c>
      <c r="E590" t="s">
        <v>40</v>
      </c>
      <c r="F590" s="3">
        <v>42381</v>
      </c>
      <c r="G590" s="3">
        <v>42571</v>
      </c>
      <c r="H590" t="s">
        <v>1898</v>
      </c>
      <c r="I590" t="s">
        <v>33</v>
      </c>
      <c r="N590" s="3"/>
      <c r="O590" t="s">
        <v>152</v>
      </c>
      <c r="Q590" s="3"/>
      <c r="R590" s="3"/>
      <c r="S590" s="3"/>
      <c r="T590" t="s">
        <v>36</v>
      </c>
      <c r="V590" s="3"/>
      <c r="W590" s="3"/>
      <c r="X590" s="3"/>
      <c r="Y590" s="3"/>
      <c r="Z590" s="3"/>
      <c r="AA590" s="3"/>
      <c r="AB590" s="3"/>
    </row>
    <row r="591" spans="1:28" x14ac:dyDescent="0.3">
      <c r="A591" s="2" t="str">
        <f>HYPERLINK("https://www.cadth.ca/idarucizumab-drug-plan-submission", "Praxbind")</f>
        <v>Praxbind</v>
      </c>
      <c r="B591" t="s">
        <v>1899</v>
      </c>
      <c r="C591" t="s">
        <v>1900</v>
      </c>
      <c r="E591" t="s">
        <v>113</v>
      </c>
      <c r="F591" s="3">
        <v>42520</v>
      </c>
      <c r="G591" s="3"/>
      <c r="H591" t="s">
        <v>1901</v>
      </c>
      <c r="I591" t="s">
        <v>33</v>
      </c>
      <c r="N591" s="3"/>
      <c r="O591" t="s">
        <v>1169</v>
      </c>
      <c r="Q591" s="3"/>
      <c r="R591" s="3"/>
      <c r="S591" s="3"/>
      <c r="T591" t="s">
        <v>36</v>
      </c>
      <c r="V591" s="3"/>
      <c r="W591" s="3"/>
      <c r="X591" s="3"/>
      <c r="Y591" s="3"/>
      <c r="Z591" s="3"/>
      <c r="AA591" s="3"/>
      <c r="AB591" s="3"/>
    </row>
    <row r="592" spans="1:28" x14ac:dyDescent="0.3">
      <c r="A592" s="2" t="str">
        <f>HYPERLINK("https://www.cadth.ca/letermovir", "Prevymis")</f>
        <v>Prevymis</v>
      </c>
      <c r="B592" t="s">
        <v>1902</v>
      </c>
      <c r="C592" t="s">
        <v>1903</v>
      </c>
      <c r="D592" t="s">
        <v>55</v>
      </c>
      <c r="E592" t="s">
        <v>40</v>
      </c>
      <c r="F592" s="3">
        <v>43076</v>
      </c>
      <c r="G592" s="3">
        <v>43271</v>
      </c>
      <c r="H592" t="s">
        <v>1904</v>
      </c>
      <c r="I592" t="s">
        <v>33</v>
      </c>
      <c r="N592" s="3"/>
      <c r="O592" t="s">
        <v>289</v>
      </c>
      <c r="Q592" s="3"/>
      <c r="R592" s="3"/>
      <c r="S592" s="3"/>
      <c r="T592" t="s">
        <v>36</v>
      </c>
      <c r="V592" s="3"/>
      <c r="W592" s="3"/>
      <c r="X592" s="3"/>
      <c r="Y592" s="3"/>
      <c r="Z592" s="3"/>
      <c r="AA592" s="3"/>
      <c r="AB592" s="3"/>
    </row>
    <row r="593" spans="1:28" x14ac:dyDescent="0.3">
      <c r="A593" s="2" t="str">
        <f>HYPERLINK("https://www.cadth.ca/lumiracoxib", "Prexige")</f>
        <v>Prexige</v>
      </c>
      <c r="B593" t="s">
        <v>1905</v>
      </c>
      <c r="C593" t="s">
        <v>1906</v>
      </c>
      <c r="D593" t="s">
        <v>39</v>
      </c>
      <c r="E593" t="s">
        <v>40</v>
      </c>
      <c r="F593" s="3">
        <v>39066</v>
      </c>
      <c r="G593" s="3">
        <v>39288</v>
      </c>
      <c r="H593" t="s">
        <v>1907</v>
      </c>
      <c r="I593" t="s">
        <v>33</v>
      </c>
      <c r="N593" s="3"/>
      <c r="O593" t="s">
        <v>71</v>
      </c>
      <c r="Q593" s="3"/>
      <c r="R593" s="3"/>
      <c r="S593" s="3"/>
      <c r="T593" t="s">
        <v>36</v>
      </c>
      <c r="V593" s="3"/>
      <c r="W593" s="3"/>
      <c r="X593" s="3"/>
      <c r="Y593" s="3"/>
      <c r="Z593" s="3"/>
      <c r="AA593" s="3"/>
      <c r="AB593" s="3"/>
    </row>
    <row r="594" spans="1:28" x14ac:dyDescent="0.3">
      <c r="A594" s="2" t="str">
        <f>HYPERLINK("https://www.cadth.ca/darunavircobicistat", "Prezcobix")</f>
        <v>Prezcobix</v>
      </c>
      <c r="B594" t="s">
        <v>1908</v>
      </c>
      <c r="C594" t="s">
        <v>1909</v>
      </c>
      <c r="D594" t="s">
        <v>50</v>
      </c>
      <c r="E594" t="s">
        <v>40</v>
      </c>
      <c r="F594" s="3">
        <v>41781</v>
      </c>
      <c r="G594" s="3">
        <v>42081</v>
      </c>
      <c r="H594" t="s">
        <v>1910</v>
      </c>
      <c r="I594" t="s">
        <v>33</v>
      </c>
      <c r="N594" s="3"/>
      <c r="O594" t="s">
        <v>665</v>
      </c>
      <c r="Q594" s="3"/>
      <c r="R594" s="3"/>
      <c r="S594" s="3"/>
      <c r="T594" t="s">
        <v>36</v>
      </c>
      <c r="V594" s="3"/>
      <c r="W594" s="3"/>
      <c r="X594" s="3"/>
      <c r="Y594" s="3"/>
      <c r="Z594" s="3"/>
      <c r="AA594" s="3"/>
      <c r="AB594" s="3"/>
    </row>
    <row r="595" spans="1:28" x14ac:dyDescent="0.3">
      <c r="A595" s="2" t="str">
        <f>HYPERLINK("https://www.cadth.ca/darunavir", "Prezista")</f>
        <v>Prezista</v>
      </c>
      <c r="B595" t="s">
        <v>1911</v>
      </c>
      <c r="C595" t="s">
        <v>273</v>
      </c>
      <c r="D595" t="s">
        <v>46</v>
      </c>
      <c r="E595" t="s">
        <v>40</v>
      </c>
      <c r="F595" s="3">
        <v>38958</v>
      </c>
      <c r="G595" s="3">
        <v>39127</v>
      </c>
      <c r="H595" t="s">
        <v>1912</v>
      </c>
      <c r="I595" t="s">
        <v>33</v>
      </c>
      <c r="N595" s="3"/>
      <c r="O595" t="s">
        <v>334</v>
      </c>
      <c r="Q595" s="3"/>
      <c r="R595" s="3"/>
      <c r="S595" s="3"/>
      <c r="T595" t="s">
        <v>36</v>
      </c>
      <c r="V595" s="3"/>
      <c r="W595" s="3"/>
      <c r="X595" s="3"/>
      <c r="Y595" s="3"/>
      <c r="Z595" s="3"/>
      <c r="AA595" s="3"/>
      <c r="AB595" s="3"/>
    </row>
    <row r="596" spans="1:28" x14ac:dyDescent="0.3">
      <c r="A596" s="2" t="str">
        <f>HYPERLINK("https://www.cadth.ca/darunavir-0", "Prezista")</f>
        <v>Prezista</v>
      </c>
      <c r="B596" t="s">
        <v>1911</v>
      </c>
      <c r="C596" t="s">
        <v>1913</v>
      </c>
      <c r="D596" t="s">
        <v>46</v>
      </c>
      <c r="E596" t="s">
        <v>40</v>
      </c>
      <c r="F596" s="3">
        <v>39899</v>
      </c>
      <c r="G596" s="3">
        <v>40100</v>
      </c>
      <c r="H596" t="s">
        <v>1914</v>
      </c>
      <c r="I596" t="s">
        <v>33</v>
      </c>
      <c r="N596" s="3"/>
      <c r="O596" t="s">
        <v>334</v>
      </c>
      <c r="Q596" s="3"/>
      <c r="R596" s="3"/>
      <c r="S596" s="3"/>
      <c r="T596" t="s">
        <v>36</v>
      </c>
      <c r="V596" s="3"/>
      <c r="W596" s="3"/>
      <c r="X596" s="3"/>
      <c r="Y596" s="3"/>
      <c r="Z596" s="3"/>
      <c r="AA596" s="3"/>
      <c r="AB596" s="3"/>
    </row>
    <row r="597" spans="1:28" x14ac:dyDescent="0.3">
      <c r="A597" s="2" t="str">
        <f>HYPERLINK("https://www.cadth.ca/darunavir-1", "Prezista")</f>
        <v>Prezista</v>
      </c>
      <c r="B597" t="s">
        <v>1911</v>
      </c>
      <c r="C597" t="s">
        <v>1915</v>
      </c>
      <c r="D597" t="s">
        <v>46</v>
      </c>
      <c r="E597" t="s">
        <v>40</v>
      </c>
      <c r="F597" s="3">
        <v>40169</v>
      </c>
      <c r="G597" s="3">
        <v>40346</v>
      </c>
      <c r="H597" t="s">
        <v>1916</v>
      </c>
      <c r="I597" t="s">
        <v>33</v>
      </c>
      <c r="N597" s="3"/>
      <c r="O597" t="s">
        <v>334</v>
      </c>
      <c r="Q597" s="3"/>
      <c r="R597" s="3"/>
      <c r="S597" s="3"/>
      <c r="T597" t="s">
        <v>36</v>
      </c>
      <c r="V597" s="3"/>
      <c r="W597" s="3"/>
      <c r="X597" s="3"/>
      <c r="Y597" s="3"/>
      <c r="Z597" s="3"/>
      <c r="AA597" s="3"/>
      <c r="AB597" s="3"/>
    </row>
    <row r="598" spans="1:28" x14ac:dyDescent="0.3">
      <c r="A598" s="2" t="str">
        <f>HYPERLINK("https://www.cadth.ca/desvenlafaxine-succinate", "Pristiq")</f>
        <v>Pristiq</v>
      </c>
      <c r="B598" t="s">
        <v>1917</v>
      </c>
      <c r="C598" t="s">
        <v>636</v>
      </c>
      <c r="D598" t="s">
        <v>39</v>
      </c>
      <c r="E598" t="s">
        <v>40</v>
      </c>
      <c r="F598" s="3">
        <v>39877</v>
      </c>
      <c r="G598" s="3">
        <v>40079</v>
      </c>
      <c r="H598" t="s">
        <v>1918</v>
      </c>
      <c r="I598" t="s">
        <v>33</v>
      </c>
      <c r="N598" s="3"/>
      <c r="O598" t="s">
        <v>1919</v>
      </c>
      <c r="Q598" s="3"/>
      <c r="R598" s="3"/>
      <c r="S598" s="3"/>
      <c r="T598" t="s">
        <v>36</v>
      </c>
      <c r="V598" s="3"/>
      <c r="W598" s="3"/>
      <c r="X598" s="3"/>
      <c r="Y598" s="3"/>
      <c r="Z598" s="3"/>
      <c r="AA598" s="3"/>
      <c r="AB598" s="3"/>
    </row>
    <row r="599" spans="1:28" x14ac:dyDescent="0.3">
      <c r="A599" s="2" t="str">
        <f>HYPERLINK("https://www.cadth.ca/buprenorphine-hydrochloride", "Probuphine")</f>
        <v>Probuphine</v>
      </c>
      <c r="B599" t="s">
        <v>1920</v>
      </c>
      <c r="C599" t="s">
        <v>1921</v>
      </c>
      <c r="D599" t="s">
        <v>55</v>
      </c>
      <c r="E599" t="s">
        <v>40</v>
      </c>
      <c r="F599" s="3">
        <v>43090</v>
      </c>
      <c r="G599" s="3">
        <v>43334</v>
      </c>
      <c r="H599" t="s">
        <v>1922</v>
      </c>
      <c r="I599" t="s">
        <v>33</v>
      </c>
      <c r="N599" s="3"/>
      <c r="O599" t="s">
        <v>392</v>
      </c>
      <c r="Q599" s="3"/>
      <c r="R599" s="3"/>
      <c r="S599" s="3"/>
      <c r="T599" t="s">
        <v>36</v>
      </c>
      <c r="V599" s="3"/>
      <c r="W599" s="3"/>
      <c r="X599" s="3"/>
      <c r="Y599" s="3"/>
      <c r="Z599" s="3"/>
      <c r="AA599" s="3"/>
      <c r="AB599" s="3"/>
    </row>
    <row r="600" spans="1:28" x14ac:dyDescent="0.3">
      <c r="A600" s="2" t="str">
        <f>HYPERLINK("https://www.cadth.ca/cysteamine-bitartrate", "Procysbi")</f>
        <v>Procysbi</v>
      </c>
      <c r="B600" t="s">
        <v>1923</v>
      </c>
      <c r="C600" t="s">
        <v>1924</v>
      </c>
      <c r="D600" t="s">
        <v>55</v>
      </c>
      <c r="E600" t="s">
        <v>40</v>
      </c>
      <c r="F600" s="3">
        <v>42955</v>
      </c>
      <c r="G600" s="3">
        <v>43124</v>
      </c>
      <c r="H600" t="s">
        <v>1925</v>
      </c>
      <c r="I600" t="s">
        <v>33</v>
      </c>
      <c r="N600" s="3"/>
      <c r="O600" t="s">
        <v>1926</v>
      </c>
      <c r="Q600" s="3"/>
      <c r="R600" s="3"/>
      <c r="S600" s="3"/>
      <c r="T600" t="s">
        <v>36</v>
      </c>
      <c r="V600" s="3"/>
      <c r="W600" s="3"/>
      <c r="X600" s="3"/>
      <c r="Y600" s="3"/>
      <c r="Z600" s="3"/>
      <c r="AA600" s="3"/>
      <c r="AB600" s="3"/>
    </row>
    <row r="601" spans="1:28" x14ac:dyDescent="0.3">
      <c r="A601" s="2" t="str">
        <f>HYPERLINK("https://www.cadth.ca/node/79665", "Proleukin")</f>
        <v>Proleukin</v>
      </c>
      <c r="B601" t="s">
        <v>1927</v>
      </c>
      <c r="C601" t="s">
        <v>1928</v>
      </c>
      <c r="D601" t="s">
        <v>109</v>
      </c>
      <c r="E601" t="s">
        <v>40</v>
      </c>
      <c r="F601" s="3">
        <v>42034</v>
      </c>
      <c r="G601" s="3">
        <v>42177</v>
      </c>
      <c r="H601" t="s">
        <v>1929</v>
      </c>
      <c r="I601" t="s">
        <v>33</v>
      </c>
      <c r="J601" t="s">
        <v>1930</v>
      </c>
      <c r="K601" t="s">
        <v>616</v>
      </c>
      <c r="L601" t="s">
        <v>1931</v>
      </c>
      <c r="M601" t="s">
        <v>60</v>
      </c>
      <c r="N601" s="3"/>
      <c r="O601" t="s">
        <v>71</v>
      </c>
      <c r="P601" t="s">
        <v>1932</v>
      </c>
      <c r="Q601" s="3"/>
      <c r="R601" s="3"/>
      <c r="S601" s="3">
        <v>42041</v>
      </c>
      <c r="U601" t="s">
        <v>62</v>
      </c>
      <c r="V601" s="3">
        <v>42058</v>
      </c>
      <c r="W601" s="3">
        <v>42089</v>
      </c>
      <c r="X601" s="3">
        <v>42145</v>
      </c>
      <c r="Y601" s="3">
        <v>42159</v>
      </c>
      <c r="Z601" s="3">
        <v>42173</v>
      </c>
      <c r="AA601" s="3"/>
      <c r="AB601" s="3">
        <v>42193</v>
      </c>
    </row>
    <row r="602" spans="1:28" x14ac:dyDescent="0.3">
      <c r="A602" s="2" t="str">
        <f>HYPERLINK("https://www.cadth.ca/denosumab-1", "Prolia")</f>
        <v>Prolia</v>
      </c>
      <c r="B602" t="s">
        <v>1933</v>
      </c>
      <c r="C602" t="s">
        <v>72</v>
      </c>
      <c r="D602" t="s">
        <v>55</v>
      </c>
      <c r="E602" t="s">
        <v>40</v>
      </c>
      <c r="F602" s="3">
        <v>42303</v>
      </c>
      <c r="G602" s="3">
        <v>42510</v>
      </c>
      <c r="H602" t="s">
        <v>1934</v>
      </c>
      <c r="I602" t="s">
        <v>33</v>
      </c>
      <c r="N602" s="3"/>
      <c r="O602" t="s">
        <v>407</v>
      </c>
      <c r="Q602" s="3"/>
      <c r="R602" s="3"/>
      <c r="S602" s="3"/>
      <c r="T602" t="s">
        <v>49</v>
      </c>
      <c r="V602" s="3"/>
      <c r="W602" s="3"/>
      <c r="X602" s="3"/>
      <c r="Y602" s="3"/>
      <c r="Z602" s="3"/>
      <c r="AA602" s="3"/>
      <c r="AB602" s="3"/>
    </row>
    <row r="603" spans="1:28" x14ac:dyDescent="0.3">
      <c r="A603" s="2" t="str">
        <f>HYPERLINK("https://www.cadth.ca/denosumab", "Prolia")</f>
        <v>Prolia</v>
      </c>
      <c r="B603" t="s">
        <v>1933</v>
      </c>
      <c r="C603" t="s">
        <v>69</v>
      </c>
      <c r="D603" t="s">
        <v>46</v>
      </c>
      <c r="E603" t="s">
        <v>40</v>
      </c>
      <c r="F603" s="3">
        <v>40416</v>
      </c>
      <c r="G603" s="3">
        <v>40632</v>
      </c>
      <c r="H603" t="s">
        <v>1935</v>
      </c>
      <c r="I603" t="s">
        <v>33</v>
      </c>
      <c r="N603" s="3"/>
      <c r="O603" t="s">
        <v>407</v>
      </c>
      <c r="Q603" s="3"/>
      <c r="R603" s="3"/>
      <c r="S603" s="3"/>
      <c r="T603" t="s">
        <v>36</v>
      </c>
      <c r="V603" s="3"/>
      <c r="W603" s="3"/>
      <c r="X603" s="3"/>
      <c r="Y603" s="3"/>
      <c r="Z603" s="3"/>
      <c r="AA603" s="3"/>
      <c r="AB603" s="3"/>
    </row>
    <row r="604" spans="1:28" x14ac:dyDescent="0.3">
      <c r="A604" s="2" t="str">
        <f>HYPERLINK("https://www.cadth.ca/denosumab-drug-plan-submission", "Prolia")</f>
        <v>Prolia</v>
      </c>
      <c r="B604" t="s">
        <v>1936</v>
      </c>
      <c r="C604" t="s">
        <v>1937</v>
      </c>
      <c r="D604" t="s">
        <v>46</v>
      </c>
      <c r="E604" t="s">
        <v>40</v>
      </c>
      <c r="F604" s="3">
        <v>42073</v>
      </c>
      <c r="G604" s="3">
        <v>42268</v>
      </c>
      <c r="H604" t="s">
        <v>1938</v>
      </c>
      <c r="I604" t="s">
        <v>33</v>
      </c>
      <c r="N604" s="3"/>
      <c r="O604" t="s">
        <v>1939</v>
      </c>
      <c r="Q604" s="3"/>
      <c r="R604" s="3"/>
      <c r="S604" s="3"/>
      <c r="T604" t="s">
        <v>726</v>
      </c>
      <c r="V604" s="3"/>
      <c r="W604" s="3"/>
      <c r="X604" s="3"/>
      <c r="Y604" s="3"/>
      <c r="Z604" s="3"/>
      <c r="AA604" s="3"/>
      <c r="AB604" s="3"/>
    </row>
    <row r="605" spans="1:28" x14ac:dyDescent="0.3">
      <c r="A605" s="2" t="str">
        <f>HYPERLINK("https://www.cadth.ca/ripretinib", "Qinlock")</f>
        <v>Qinlock</v>
      </c>
      <c r="B605" t="s">
        <v>1940</v>
      </c>
      <c r="C605" t="s">
        <v>1941</v>
      </c>
      <c r="E605" t="s">
        <v>737</v>
      </c>
      <c r="F605" s="3"/>
      <c r="G605" s="3"/>
      <c r="H605" t="s">
        <v>1942</v>
      </c>
      <c r="I605" t="s">
        <v>33</v>
      </c>
      <c r="K605" t="s">
        <v>58</v>
      </c>
      <c r="N605" s="3"/>
      <c r="O605" t="s">
        <v>1943</v>
      </c>
      <c r="Q605" s="3"/>
      <c r="R605" s="3"/>
      <c r="S605" s="3"/>
      <c r="V605" s="3"/>
      <c r="W605" s="3"/>
      <c r="X605" s="3"/>
      <c r="Y605" s="3"/>
      <c r="Z605" s="3"/>
      <c r="AA605" s="3"/>
      <c r="AB605" s="3"/>
    </row>
    <row r="606" spans="1:28" x14ac:dyDescent="0.3">
      <c r="A606" s="2" t="str">
        <f>HYPERLINK("https://www.cadth.ca/levofloxacin", "Quinsair")</f>
        <v>Quinsair</v>
      </c>
      <c r="B606" t="s">
        <v>1944</v>
      </c>
      <c r="C606" t="s">
        <v>1945</v>
      </c>
      <c r="D606" t="s">
        <v>55</v>
      </c>
      <c r="E606" t="s">
        <v>40</v>
      </c>
      <c r="F606" s="3">
        <v>42521</v>
      </c>
      <c r="G606" s="3">
        <v>42695</v>
      </c>
      <c r="H606" t="s">
        <v>1946</v>
      </c>
      <c r="I606" t="s">
        <v>33</v>
      </c>
      <c r="N606" s="3"/>
      <c r="O606" t="s">
        <v>1947</v>
      </c>
      <c r="Q606" s="3"/>
      <c r="R606" s="3"/>
      <c r="S606" s="3"/>
      <c r="T606" t="s">
        <v>36</v>
      </c>
      <c r="V606" s="3"/>
      <c r="W606" s="3"/>
      <c r="X606" s="3"/>
      <c r="Y606" s="3"/>
      <c r="Z606" s="3"/>
      <c r="AA606" s="3"/>
      <c r="AB606" s="3"/>
    </row>
    <row r="607" spans="1:28" x14ac:dyDescent="0.3">
      <c r="A607" s="2" t="str">
        <f>HYPERLINK("https://www.cadth.ca/edaravone", "Radicava")</f>
        <v>Radicava</v>
      </c>
      <c r="B607" t="s">
        <v>1948</v>
      </c>
      <c r="C607" t="s">
        <v>1949</v>
      </c>
      <c r="D607" t="s">
        <v>55</v>
      </c>
      <c r="E607" t="s">
        <v>40</v>
      </c>
      <c r="F607" s="3">
        <v>43286</v>
      </c>
      <c r="G607" s="3">
        <v>43551</v>
      </c>
      <c r="H607" t="s">
        <v>1950</v>
      </c>
      <c r="I607" t="s">
        <v>33</v>
      </c>
      <c r="N607" s="3"/>
      <c r="O607" t="s">
        <v>1951</v>
      </c>
      <c r="Q607" s="3"/>
      <c r="R607" s="3"/>
      <c r="S607" s="3"/>
      <c r="T607" t="s">
        <v>36</v>
      </c>
      <c r="V607" s="3"/>
      <c r="W607" s="3"/>
      <c r="X607" s="3"/>
      <c r="Y607" s="3"/>
      <c r="Z607" s="3"/>
      <c r="AA607" s="3"/>
      <c r="AB607" s="3"/>
    </row>
    <row r="608" spans="1:28" x14ac:dyDescent="0.3">
      <c r="A608" s="2" t="str">
        <f>HYPERLINK("https://www.cadth.ca/tramadol-hydrochloride-1", "Ralivia")</f>
        <v>Ralivia</v>
      </c>
      <c r="B608" t="s">
        <v>1952</v>
      </c>
      <c r="C608" t="s">
        <v>1953</v>
      </c>
      <c r="D608" t="s">
        <v>39</v>
      </c>
      <c r="E608" t="s">
        <v>40</v>
      </c>
      <c r="F608" s="3">
        <v>39384</v>
      </c>
      <c r="G608" s="3">
        <v>39624</v>
      </c>
      <c r="H608" t="s">
        <v>1954</v>
      </c>
      <c r="I608" t="s">
        <v>33</v>
      </c>
      <c r="N608" s="3"/>
      <c r="O608" t="s">
        <v>1955</v>
      </c>
      <c r="Q608" s="3"/>
      <c r="R608" s="3"/>
      <c r="S608" s="3"/>
      <c r="T608" t="s">
        <v>36</v>
      </c>
      <c r="V608" s="3"/>
      <c r="W608" s="3"/>
      <c r="X608" s="3"/>
      <c r="Y608" s="3"/>
      <c r="Z608" s="3"/>
      <c r="AA608" s="3"/>
      <c r="AB608" s="3"/>
    </row>
    <row r="609" spans="1:28" x14ac:dyDescent="0.3">
      <c r="A609" s="2" t="str">
        <f>HYPERLINK("https://www.cadth.ca/silodosin", "RAPAFLO")</f>
        <v>RAPAFLO</v>
      </c>
      <c r="B609" t="s">
        <v>1956</v>
      </c>
      <c r="C609" t="s">
        <v>1957</v>
      </c>
      <c r="D609" t="s">
        <v>39</v>
      </c>
      <c r="E609" t="s">
        <v>40</v>
      </c>
      <c r="F609" s="3">
        <v>40841</v>
      </c>
      <c r="G609" s="3">
        <v>41018</v>
      </c>
      <c r="H609" t="s">
        <v>1958</v>
      </c>
      <c r="I609" t="s">
        <v>33</v>
      </c>
      <c r="N609" s="3"/>
      <c r="O609" t="s">
        <v>977</v>
      </c>
      <c r="Q609" s="3"/>
      <c r="R609" s="3"/>
      <c r="S609" s="3"/>
      <c r="T609" t="s">
        <v>36</v>
      </c>
      <c r="V609" s="3"/>
      <c r="W609" s="3"/>
      <c r="X609" s="3"/>
      <c r="Y609" s="3"/>
      <c r="Z609" s="3"/>
      <c r="AA609" s="3"/>
      <c r="AB609" s="3"/>
    </row>
    <row r="610" spans="1:28" x14ac:dyDescent="0.3">
      <c r="A610" s="2" t="str">
        <f>HYPERLINK("https://www.cadth.ca/efalizumab-0", "Raptiva")</f>
        <v>Raptiva</v>
      </c>
      <c r="B610" t="s">
        <v>1959</v>
      </c>
      <c r="C610" t="s">
        <v>252</v>
      </c>
      <c r="E610" t="s">
        <v>40</v>
      </c>
      <c r="F610" s="3">
        <v>39252</v>
      </c>
      <c r="G610" s="3"/>
      <c r="H610" t="s">
        <v>1960</v>
      </c>
      <c r="I610" t="s">
        <v>33</v>
      </c>
      <c r="N610" s="3"/>
      <c r="O610" t="s">
        <v>1961</v>
      </c>
      <c r="Q610" s="3"/>
      <c r="R610" s="3"/>
      <c r="S610" s="3"/>
      <c r="T610" t="s">
        <v>49</v>
      </c>
      <c r="V610" s="3"/>
      <c r="W610" s="3"/>
      <c r="X610" s="3"/>
      <c r="Y610" s="3"/>
      <c r="Z610" s="3"/>
      <c r="AA610" s="3"/>
      <c r="AB610" s="3"/>
    </row>
    <row r="611" spans="1:28" x14ac:dyDescent="0.3">
      <c r="A611" s="2" t="str">
        <f>HYPERLINK("https://www.cadth.ca/efalizumab", "Raptiva")</f>
        <v>Raptiva</v>
      </c>
      <c r="B611" t="s">
        <v>1959</v>
      </c>
      <c r="C611" t="s">
        <v>252</v>
      </c>
      <c r="D611" t="s">
        <v>46</v>
      </c>
      <c r="E611" t="s">
        <v>40</v>
      </c>
      <c r="F611" s="3">
        <v>38650</v>
      </c>
      <c r="G611" s="3">
        <v>38953</v>
      </c>
      <c r="H611" t="s">
        <v>1962</v>
      </c>
      <c r="I611" t="s">
        <v>33</v>
      </c>
      <c r="N611" s="3"/>
      <c r="O611" t="s">
        <v>1961</v>
      </c>
      <c r="Q611" s="3"/>
      <c r="R611" s="3"/>
      <c r="S611" s="3"/>
      <c r="T611" t="s">
        <v>36</v>
      </c>
      <c r="V611" s="3"/>
      <c r="W611" s="3"/>
      <c r="X611" s="3"/>
      <c r="Y611" s="3"/>
      <c r="Z611" s="3"/>
      <c r="AA611" s="3"/>
      <c r="AB611" s="3"/>
    </row>
    <row r="612" spans="1:28" x14ac:dyDescent="0.3">
      <c r="A612" s="2" t="str">
        <f>HYPERLINK("https://www.cadth.ca/aliskiren", "Rasilez")</f>
        <v>Rasilez</v>
      </c>
      <c r="B612" t="s">
        <v>1963</v>
      </c>
      <c r="C612" t="s">
        <v>231</v>
      </c>
      <c r="D612" t="s">
        <v>39</v>
      </c>
      <c r="E612" t="s">
        <v>40</v>
      </c>
      <c r="F612" s="3">
        <v>39416</v>
      </c>
      <c r="G612" s="3">
        <v>39624</v>
      </c>
      <c r="H612" t="s">
        <v>1964</v>
      </c>
      <c r="I612" t="s">
        <v>33</v>
      </c>
      <c r="N612" s="3"/>
      <c r="O612" t="s">
        <v>71</v>
      </c>
      <c r="Q612" s="3"/>
      <c r="R612" s="3"/>
      <c r="S612" s="3"/>
      <c r="T612" t="s">
        <v>36</v>
      </c>
      <c r="V612" s="3"/>
      <c r="W612" s="3"/>
      <c r="X612" s="3"/>
      <c r="Y612" s="3"/>
      <c r="Z612" s="3"/>
      <c r="AA612" s="3"/>
      <c r="AB612" s="3"/>
    </row>
    <row r="613" spans="1:28" x14ac:dyDescent="0.3">
      <c r="A613" s="2" t="str">
        <f>HYPERLINK("https://www.cadth.ca/glycerol-phenylbutyrate", "Ravicti")</f>
        <v>Ravicti</v>
      </c>
      <c r="B613" t="s">
        <v>1965</v>
      </c>
      <c r="C613" t="s">
        <v>1859</v>
      </c>
      <c r="D613" t="s">
        <v>55</v>
      </c>
      <c r="E613" t="s">
        <v>40</v>
      </c>
      <c r="F613" s="3">
        <v>42612</v>
      </c>
      <c r="G613" s="3">
        <v>42815</v>
      </c>
      <c r="H613" t="s">
        <v>1966</v>
      </c>
      <c r="I613" t="s">
        <v>33</v>
      </c>
      <c r="N613" s="3"/>
      <c r="O613" t="s">
        <v>1967</v>
      </c>
      <c r="Q613" s="3"/>
      <c r="R613" s="3"/>
      <c r="S613" s="3"/>
      <c r="T613" t="s">
        <v>36</v>
      </c>
      <c r="V613" s="3"/>
      <c r="W613" s="3"/>
      <c r="X613" s="3"/>
      <c r="Y613" s="3"/>
      <c r="Z613" s="3"/>
      <c r="AA613" s="3"/>
      <c r="AB613" s="3"/>
    </row>
    <row r="614" spans="1:28" x14ac:dyDescent="0.3">
      <c r="A614" s="2" t="str">
        <f>HYPERLINK("https://www.cadth.ca/interferon-beta-1a", "Rebif")</f>
        <v>Rebif</v>
      </c>
      <c r="B614" t="s">
        <v>1968</v>
      </c>
      <c r="C614" t="s">
        <v>1969</v>
      </c>
      <c r="D614" t="s">
        <v>39</v>
      </c>
      <c r="E614" t="s">
        <v>40</v>
      </c>
      <c r="F614" s="3">
        <v>41341</v>
      </c>
      <c r="G614" s="3">
        <v>41501</v>
      </c>
      <c r="H614" t="s">
        <v>1970</v>
      </c>
      <c r="I614" t="s">
        <v>33</v>
      </c>
      <c r="N614" s="3"/>
      <c r="O614" t="s">
        <v>1971</v>
      </c>
      <c r="Q614" s="3"/>
      <c r="R614" s="3"/>
      <c r="S614" s="3"/>
      <c r="T614" t="s">
        <v>36</v>
      </c>
      <c r="V614" s="3"/>
      <c r="W614" s="3"/>
      <c r="X614" s="3"/>
      <c r="Y614" s="3"/>
      <c r="Z614" s="3"/>
      <c r="AA614" s="3"/>
      <c r="AB614" s="3"/>
    </row>
    <row r="615" spans="1:28" x14ac:dyDescent="0.3">
      <c r="A615" s="2" t="str">
        <f>HYPERLINK("https://www.cadth.ca/luspatercept", "Reblozyl")</f>
        <v>Reblozyl</v>
      </c>
      <c r="B615" t="s">
        <v>1972</v>
      </c>
      <c r="C615" t="s">
        <v>1973</v>
      </c>
      <c r="D615" t="s">
        <v>55</v>
      </c>
      <c r="E615" t="s">
        <v>40</v>
      </c>
      <c r="F615" s="3">
        <v>44161</v>
      </c>
      <c r="G615" s="3">
        <v>44355</v>
      </c>
      <c r="H615" t="s">
        <v>1974</v>
      </c>
      <c r="I615" t="s">
        <v>33</v>
      </c>
      <c r="N615" s="3"/>
      <c r="O615" t="s">
        <v>1975</v>
      </c>
      <c r="Q615" s="3"/>
      <c r="R615" s="3"/>
      <c r="S615" s="3"/>
      <c r="T615" t="s">
        <v>36</v>
      </c>
      <c r="V615" s="3"/>
      <c r="W615" s="3"/>
      <c r="X615" s="3"/>
      <c r="Y615" s="3"/>
      <c r="Z615" s="3"/>
      <c r="AA615" s="3"/>
      <c r="AB615" s="3"/>
    </row>
    <row r="616" spans="1:28" x14ac:dyDescent="0.3">
      <c r="A616" s="2" t="str">
        <f>HYPERLINK("https://www.cadth.ca/luspatercept-0", "Reblozyl")</f>
        <v>Reblozyl</v>
      </c>
      <c r="B616" t="s">
        <v>1972</v>
      </c>
      <c r="C616" t="s">
        <v>1976</v>
      </c>
      <c r="E616" t="s">
        <v>31</v>
      </c>
      <c r="F616" s="3">
        <v>44224</v>
      </c>
      <c r="G616" s="3"/>
      <c r="H616" t="s">
        <v>1977</v>
      </c>
      <c r="I616" t="s">
        <v>33</v>
      </c>
      <c r="N616" s="3"/>
      <c r="O616" t="s">
        <v>35</v>
      </c>
      <c r="Q616" s="3"/>
      <c r="R616" s="3"/>
      <c r="S616" s="3"/>
      <c r="T616" t="s">
        <v>36</v>
      </c>
      <c r="V616" s="3"/>
      <c r="W616" s="3"/>
      <c r="X616" s="3"/>
      <c r="Y616" s="3"/>
      <c r="Z616" s="3"/>
      <c r="AA616" s="3"/>
      <c r="AB616" s="3"/>
    </row>
    <row r="617" spans="1:28" x14ac:dyDescent="0.3">
      <c r="A617" s="2" t="str">
        <f>HYPERLINK("https://www.cadth.ca/methylnaltrexone-bromide", "Relistor")</f>
        <v>Relistor</v>
      </c>
      <c r="B617" t="s">
        <v>1978</v>
      </c>
      <c r="C617" t="s">
        <v>1979</v>
      </c>
      <c r="D617" t="s">
        <v>39</v>
      </c>
      <c r="E617" t="s">
        <v>40</v>
      </c>
      <c r="F617" s="3">
        <v>39575</v>
      </c>
      <c r="G617" s="3">
        <v>39841</v>
      </c>
      <c r="H617" t="s">
        <v>1980</v>
      </c>
      <c r="I617" t="s">
        <v>33</v>
      </c>
      <c r="N617" s="3"/>
      <c r="O617" t="s">
        <v>1919</v>
      </c>
      <c r="Q617" s="3"/>
      <c r="R617" s="3"/>
      <c r="S617" s="3"/>
      <c r="T617" t="s">
        <v>36</v>
      </c>
      <c r="V617" s="3"/>
      <c r="W617" s="3"/>
      <c r="X617" s="3"/>
      <c r="Y617" s="3"/>
      <c r="Z617" s="3"/>
      <c r="AA617" s="3"/>
      <c r="AB617" s="3"/>
    </row>
    <row r="618" spans="1:28" x14ac:dyDescent="0.3">
      <c r="A618" s="2" t="str">
        <f>HYPERLINK("https://www.cadth.ca/eletriptan-hydrobromide", "Relpax")</f>
        <v>Relpax</v>
      </c>
      <c r="B618" t="s">
        <v>1981</v>
      </c>
      <c r="C618" t="s">
        <v>187</v>
      </c>
      <c r="D618" t="s">
        <v>39</v>
      </c>
      <c r="E618" t="s">
        <v>40</v>
      </c>
      <c r="F618" s="3">
        <v>38251</v>
      </c>
      <c r="G618" s="3">
        <v>38434</v>
      </c>
      <c r="H618" t="s">
        <v>1982</v>
      </c>
      <c r="I618" t="s">
        <v>33</v>
      </c>
      <c r="N618" s="3"/>
      <c r="O618" t="s">
        <v>387</v>
      </c>
      <c r="Q618" s="3"/>
      <c r="R618" s="3"/>
      <c r="S618" s="3"/>
      <c r="T618" t="s">
        <v>36</v>
      </c>
      <c r="V618" s="3"/>
      <c r="W618" s="3"/>
      <c r="X618" s="3"/>
      <c r="Y618" s="3"/>
      <c r="Z618" s="3"/>
      <c r="AA618" s="3"/>
      <c r="AB618" s="3"/>
    </row>
    <row r="619" spans="1:28" x14ac:dyDescent="0.3">
      <c r="A619" s="2" t="str">
        <f>HYPERLINK("https://www.cadth.ca/infliximab", "Remicade")</f>
        <v>Remicade</v>
      </c>
      <c r="B619" t="s">
        <v>1145</v>
      </c>
      <c r="C619" t="s">
        <v>599</v>
      </c>
      <c r="D619" t="s">
        <v>39</v>
      </c>
      <c r="E619" t="s">
        <v>40</v>
      </c>
      <c r="F619" s="3">
        <v>39720</v>
      </c>
      <c r="G619" s="3">
        <v>39925</v>
      </c>
      <c r="H619" t="s">
        <v>1983</v>
      </c>
      <c r="I619" t="s">
        <v>33</v>
      </c>
      <c r="N619" s="3"/>
      <c r="O619" t="s">
        <v>1984</v>
      </c>
      <c r="Q619" s="3"/>
      <c r="R619" s="3"/>
      <c r="S619" s="3"/>
      <c r="T619" t="s">
        <v>36</v>
      </c>
      <c r="V619" s="3"/>
      <c r="W619" s="3"/>
      <c r="X619" s="3"/>
      <c r="Y619" s="3"/>
      <c r="Z619" s="3"/>
      <c r="AA619" s="3"/>
      <c r="AB619" s="3"/>
    </row>
    <row r="620" spans="1:28" x14ac:dyDescent="0.3">
      <c r="A620" s="2" t="str">
        <f>HYPERLINK("https://www.cadth.ca/treprostinil-sodium", "Remodulin")</f>
        <v>Remodulin</v>
      </c>
      <c r="B620" t="s">
        <v>1985</v>
      </c>
      <c r="C620" t="s">
        <v>1986</v>
      </c>
      <c r="D620" t="s">
        <v>39</v>
      </c>
      <c r="E620" t="s">
        <v>40</v>
      </c>
      <c r="F620" s="3">
        <v>38182</v>
      </c>
      <c r="G620" s="3">
        <v>38308</v>
      </c>
      <c r="H620" t="s">
        <v>1987</v>
      </c>
      <c r="I620" t="s">
        <v>33</v>
      </c>
      <c r="N620" s="3"/>
      <c r="O620" t="s">
        <v>1988</v>
      </c>
      <c r="Q620" s="3"/>
      <c r="R620" s="3"/>
      <c r="S620" s="3"/>
      <c r="T620" t="s">
        <v>36</v>
      </c>
      <c r="V620" s="3"/>
      <c r="W620" s="3"/>
      <c r="X620" s="3"/>
      <c r="Y620" s="3"/>
      <c r="Z620" s="3"/>
      <c r="AA620" s="3"/>
      <c r="AB620" s="3"/>
    </row>
    <row r="621" spans="1:28" x14ac:dyDescent="0.3">
      <c r="A621" s="2" t="str">
        <f>HYPERLINK("https://www.cadth.ca/treprostinil-sodium-0", "Remodulin")</f>
        <v>Remodulin</v>
      </c>
      <c r="B621" t="s">
        <v>1985</v>
      </c>
      <c r="C621" t="s">
        <v>1986</v>
      </c>
      <c r="D621" t="s">
        <v>46</v>
      </c>
      <c r="E621" t="s">
        <v>40</v>
      </c>
      <c r="F621" s="3">
        <v>38772</v>
      </c>
      <c r="G621" s="3">
        <v>38918</v>
      </c>
      <c r="H621" t="s">
        <v>1989</v>
      </c>
      <c r="I621" t="s">
        <v>33</v>
      </c>
      <c r="N621" s="3"/>
      <c r="O621" t="s">
        <v>1988</v>
      </c>
      <c r="Q621" s="3"/>
      <c r="R621" s="3"/>
      <c r="S621" s="3"/>
      <c r="T621" t="s">
        <v>142</v>
      </c>
      <c r="V621" s="3"/>
      <c r="W621" s="3"/>
      <c r="X621" s="3"/>
      <c r="Y621" s="3"/>
      <c r="Z621" s="3"/>
      <c r="AA621" s="3"/>
      <c r="AB621" s="3"/>
    </row>
    <row r="622" spans="1:28" x14ac:dyDescent="0.3">
      <c r="A622" s="2" t="str">
        <f>HYPERLINK("https://www.cadth.ca/infliximab-0", "Remsima")</f>
        <v>Remsima</v>
      </c>
      <c r="B622" t="s">
        <v>1145</v>
      </c>
      <c r="C622" t="s">
        <v>1146</v>
      </c>
      <c r="E622" t="s">
        <v>113</v>
      </c>
      <c r="F622" s="3">
        <v>41789</v>
      </c>
      <c r="G622" s="3"/>
      <c r="H622" t="s">
        <v>1990</v>
      </c>
      <c r="I622" t="s">
        <v>33</v>
      </c>
      <c r="N622" s="3"/>
      <c r="O622" t="s">
        <v>1991</v>
      </c>
      <c r="Q622" s="3"/>
      <c r="R622" s="3"/>
      <c r="S622" s="3"/>
      <c r="T622" t="s">
        <v>36</v>
      </c>
      <c r="V622" s="3"/>
      <c r="W622" s="3"/>
      <c r="X622" s="3"/>
      <c r="Y622" s="3"/>
      <c r="Z622" s="3"/>
      <c r="AA622" s="3"/>
      <c r="AB622" s="3"/>
    </row>
    <row r="623" spans="1:28" x14ac:dyDescent="0.3">
      <c r="A623" s="2" t="str">
        <f>HYPERLINK("https://www.cadth.ca/infliximab-4", "Remsima")</f>
        <v>Remsima</v>
      </c>
      <c r="B623" t="s">
        <v>1992</v>
      </c>
      <c r="C623" t="s">
        <v>1993</v>
      </c>
      <c r="D623" t="s">
        <v>55</v>
      </c>
      <c r="E623" t="s">
        <v>40</v>
      </c>
      <c r="F623" s="3">
        <v>44098</v>
      </c>
      <c r="G623" s="3">
        <v>44308</v>
      </c>
      <c r="H623" t="s">
        <v>1994</v>
      </c>
      <c r="I623" t="s">
        <v>33</v>
      </c>
      <c r="N623" s="3"/>
      <c r="O623" t="s">
        <v>1995</v>
      </c>
      <c r="Q623" s="3"/>
      <c r="R623" s="3"/>
      <c r="S623" s="3"/>
      <c r="T623" t="s">
        <v>36</v>
      </c>
      <c r="V623" s="3"/>
      <c r="W623" s="3"/>
      <c r="X623" s="3"/>
      <c r="Y623" s="3"/>
      <c r="Z623" s="3"/>
      <c r="AA623" s="3"/>
      <c r="AB623" s="3"/>
    </row>
    <row r="624" spans="1:28" x14ac:dyDescent="0.3">
      <c r="A624" s="2" t="str">
        <f>HYPERLINK("https://www.cadth.ca/infliximab-3", "Renflexis")</f>
        <v>Renflexis</v>
      </c>
      <c r="B624" t="s">
        <v>1992</v>
      </c>
      <c r="C624" t="s">
        <v>1996</v>
      </c>
      <c r="D624" t="s">
        <v>55</v>
      </c>
      <c r="E624" t="s">
        <v>40</v>
      </c>
      <c r="F624" s="3">
        <v>42983</v>
      </c>
      <c r="G624" s="3">
        <v>43151</v>
      </c>
      <c r="H624" t="s">
        <v>1997</v>
      </c>
      <c r="I624" t="s">
        <v>33</v>
      </c>
      <c r="N624" s="3"/>
      <c r="O624" t="s">
        <v>289</v>
      </c>
      <c r="Q624" s="3"/>
      <c r="R624" s="3"/>
      <c r="S624" s="3"/>
      <c r="T624" t="s">
        <v>36</v>
      </c>
      <c r="V624" s="3"/>
      <c r="W624" s="3"/>
      <c r="X624" s="3"/>
      <c r="Y624" s="3"/>
      <c r="Z624" s="3"/>
      <c r="AA624" s="3"/>
      <c r="AB624" s="3"/>
    </row>
    <row r="625" spans="1:28" x14ac:dyDescent="0.3">
      <c r="A625" s="2" t="str">
        <f>HYPERLINK("https://www.cadth.ca/evolocumab", "Repatha")</f>
        <v>Repatha</v>
      </c>
      <c r="B625" t="s">
        <v>1998</v>
      </c>
      <c r="C625" t="s">
        <v>1999</v>
      </c>
      <c r="D625" t="s">
        <v>46</v>
      </c>
      <c r="E625" t="s">
        <v>40</v>
      </c>
      <c r="F625" s="3">
        <v>42185</v>
      </c>
      <c r="G625" s="3">
        <v>42419</v>
      </c>
      <c r="H625" t="s">
        <v>2000</v>
      </c>
      <c r="I625" t="s">
        <v>33</v>
      </c>
      <c r="N625" s="3"/>
      <c r="O625" t="s">
        <v>407</v>
      </c>
      <c r="Q625" s="3"/>
      <c r="R625" s="3"/>
      <c r="S625" s="3"/>
      <c r="T625" t="s">
        <v>36</v>
      </c>
      <c r="V625" s="3"/>
      <c r="W625" s="3"/>
      <c r="X625" s="3"/>
      <c r="Y625" s="3"/>
      <c r="Z625" s="3"/>
      <c r="AA625" s="3"/>
      <c r="AB625" s="3"/>
    </row>
    <row r="626" spans="1:28" x14ac:dyDescent="0.3">
      <c r="A626" s="2" t="str">
        <f>HYPERLINK("https://www.cadth.ca/evolocumab-0", "Repatha")</f>
        <v>Repatha</v>
      </c>
      <c r="B626" t="s">
        <v>1998</v>
      </c>
      <c r="C626" t="s">
        <v>2001</v>
      </c>
      <c r="D626" t="s">
        <v>55</v>
      </c>
      <c r="E626" t="s">
        <v>40</v>
      </c>
      <c r="F626" s="3">
        <v>42783</v>
      </c>
      <c r="G626" s="3">
        <v>43061</v>
      </c>
      <c r="H626" t="s">
        <v>2002</v>
      </c>
      <c r="I626" t="s">
        <v>33</v>
      </c>
      <c r="N626" s="3"/>
      <c r="O626" t="s">
        <v>407</v>
      </c>
      <c r="Q626" s="3"/>
      <c r="R626" s="3"/>
      <c r="S626" s="3"/>
      <c r="T626" t="s">
        <v>142</v>
      </c>
      <c r="V626" s="3"/>
      <c r="W626" s="3"/>
      <c r="X626" s="3"/>
      <c r="Y626" s="3"/>
      <c r="Z626" s="3"/>
      <c r="AA626" s="3"/>
      <c r="AB626" s="3"/>
    </row>
    <row r="627" spans="1:28" x14ac:dyDescent="0.3">
      <c r="A627" s="2" t="str">
        <f>HYPERLINK("https://www.cadth.ca/agalsidase-alfa", "Replagal")</f>
        <v>Replagal</v>
      </c>
      <c r="B627" t="s">
        <v>2003</v>
      </c>
      <c r="C627" t="s">
        <v>882</v>
      </c>
      <c r="D627" t="s">
        <v>39</v>
      </c>
      <c r="E627" t="s">
        <v>40</v>
      </c>
      <c r="F627" s="3">
        <v>38036</v>
      </c>
      <c r="G627" s="3">
        <v>38315</v>
      </c>
      <c r="H627" t="s">
        <v>2004</v>
      </c>
      <c r="I627" t="s">
        <v>33</v>
      </c>
      <c r="N627" s="3"/>
      <c r="O627" t="s">
        <v>2005</v>
      </c>
      <c r="Q627" s="3"/>
      <c r="R627" s="3"/>
      <c r="S627" s="3"/>
      <c r="T627" t="s">
        <v>36</v>
      </c>
      <c r="V627" s="3"/>
      <c r="W627" s="3"/>
      <c r="X627" s="3"/>
      <c r="Y627" s="3"/>
      <c r="Z627" s="3"/>
      <c r="AA627" s="3"/>
      <c r="AB627" s="3"/>
    </row>
    <row r="628" spans="1:28" x14ac:dyDescent="0.3">
      <c r="A628" s="2" t="str">
        <f>HYPERLINK("https://www.cadth.ca/prucalopride", "Resotran")</f>
        <v>Resotran</v>
      </c>
      <c r="B628" t="s">
        <v>2006</v>
      </c>
      <c r="C628" t="s">
        <v>2007</v>
      </c>
      <c r="D628" t="s">
        <v>39</v>
      </c>
      <c r="E628" t="s">
        <v>40</v>
      </c>
      <c r="F628" s="3">
        <v>40938</v>
      </c>
      <c r="G628" s="3">
        <v>41109</v>
      </c>
      <c r="H628" t="s">
        <v>2008</v>
      </c>
      <c r="I628" t="s">
        <v>33</v>
      </c>
      <c r="N628" s="3"/>
      <c r="O628" t="s">
        <v>665</v>
      </c>
      <c r="Q628" s="3"/>
      <c r="R628" s="3"/>
      <c r="S628" s="3"/>
      <c r="T628" t="s">
        <v>36</v>
      </c>
      <c r="V628" s="3"/>
      <c r="W628" s="3"/>
      <c r="X628" s="3"/>
      <c r="Y628" s="3"/>
      <c r="Z628" s="3"/>
      <c r="AA628" s="3"/>
      <c r="AB628" s="3"/>
    </row>
    <row r="629" spans="1:28" x14ac:dyDescent="0.3">
      <c r="A629" s="2" t="str">
        <f>HYPERLINK("https://www.cadth.ca/cyclosporine", "Restasis ophthalmic emulsion")</f>
        <v>Restasis ophthalmic emulsion</v>
      </c>
      <c r="B629" t="s">
        <v>2009</v>
      </c>
      <c r="C629" t="s">
        <v>2010</v>
      </c>
      <c r="D629" t="s">
        <v>39</v>
      </c>
      <c r="E629" t="s">
        <v>40</v>
      </c>
      <c r="F629" s="3">
        <v>40529</v>
      </c>
      <c r="G629" s="3">
        <v>40742</v>
      </c>
      <c r="H629" t="s">
        <v>2011</v>
      </c>
      <c r="I629" t="s">
        <v>33</v>
      </c>
      <c r="N629" s="3"/>
      <c r="O629" t="s">
        <v>434</v>
      </c>
      <c r="Q629" s="3"/>
      <c r="R629" s="3"/>
      <c r="S629" s="3"/>
      <c r="T629" t="s">
        <v>36</v>
      </c>
      <c r="V629" s="3"/>
      <c r="W629" s="3"/>
      <c r="X629" s="3"/>
      <c r="Y629" s="3"/>
      <c r="Z629" s="3"/>
      <c r="AA629" s="3"/>
      <c r="AB629" s="3"/>
    </row>
    <row r="630" spans="1:28" x14ac:dyDescent="0.3">
      <c r="A630" s="2" t="str">
        <f>HYPERLINK("https://www.cadth.ca/selpercatinib", "Retevmo")</f>
        <v>Retevmo</v>
      </c>
      <c r="B630" t="s">
        <v>2012</v>
      </c>
      <c r="C630" t="s">
        <v>2013</v>
      </c>
      <c r="E630" t="s">
        <v>484</v>
      </c>
      <c r="F630" s="3"/>
      <c r="G630" s="3"/>
      <c r="H630" t="s">
        <v>2014</v>
      </c>
      <c r="I630" t="s">
        <v>33</v>
      </c>
      <c r="K630" t="s">
        <v>205</v>
      </c>
      <c r="N630" s="3"/>
      <c r="O630" t="s">
        <v>133</v>
      </c>
      <c r="Q630" s="3"/>
      <c r="R630" s="3"/>
      <c r="S630" s="3"/>
      <c r="T630" t="s">
        <v>36</v>
      </c>
      <c r="V630" s="3"/>
      <c r="W630" s="3"/>
      <c r="X630" s="3"/>
      <c r="Y630" s="3"/>
      <c r="Z630" s="3"/>
      <c r="AA630" s="3"/>
      <c r="AB630" s="3"/>
    </row>
    <row r="631" spans="1:28" x14ac:dyDescent="0.3">
      <c r="A631" s="2" t="str">
        <f>HYPERLINK("https://www.cadth.ca/selpercatinib-0", "Retevmo")</f>
        <v>Retevmo</v>
      </c>
      <c r="B631" t="s">
        <v>2012</v>
      </c>
      <c r="C631" t="s">
        <v>2015</v>
      </c>
      <c r="E631" t="s">
        <v>737</v>
      </c>
      <c r="F631" s="3"/>
      <c r="G631" s="3"/>
      <c r="H631" t="s">
        <v>2016</v>
      </c>
      <c r="I631" t="s">
        <v>33</v>
      </c>
      <c r="K631" t="s">
        <v>1295</v>
      </c>
      <c r="N631" s="3"/>
      <c r="O631" t="s">
        <v>133</v>
      </c>
      <c r="Q631" s="3"/>
      <c r="R631" s="3"/>
      <c r="S631" s="3"/>
      <c r="V631" s="3"/>
      <c r="W631" s="3"/>
      <c r="X631" s="3"/>
      <c r="Y631" s="3"/>
      <c r="Z631" s="3"/>
      <c r="AA631" s="3"/>
      <c r="AB631" s="3"/>
    </row>
    <row r="632" spans="1:28" x14ac:dyDescent="0.3">
      <c r="A632" s="2" t="str">
        <f>HYPERLINK("https://www.cadth.ca/sildenafil-citrate", "Revatio")</f>
        <v>Revatio</v>
      </c>
      <c r="B632" t="s">
        <v>2017</v>
      </c>
      <c r="C632" t="s">
        <v>2018</v>
      </c>
      <c r="D632" t="s">
        <v>1703</v>
      </c>
      <c r="E632" t="s">
        <v>40</v>
      </c>
      <c r="F632" s="3">
        <v>38980</v>
      </c>
      <c r="G632" s="3">
        <v>39127</v>
      </c>
      <c r="H632" t="s">
        <v>2019</v>
      </c>
      <c r="I632" t="s">
        <v>33</v>
      </c>
      <c r="N632" s="3"/>
      <c r="O632" t="s">
        <v>387</v>
      </c>
      <c r="Q632" s="3"/>
      <c r="R632" s="3"/>
      <c r="S632" s="3"/>
      <c r="T632" t="s">
        <v>36</v>
      </c>
      <c r="V632" s="3"/>
      <c r="W632" s="3"/>
      <c r="X632" s="3"/>
      <c r="Y632" s="3"/>
      <c r="Z632" s="3"/>
      <c r="AA632" s="3"/>
      <c r="AB632" s="3"/>
    </row>
    <row r="633" spans="1:28" x14ac:dyDescent="0.3">
      <c r="A633" s="2" t="str">
        <f>HYPERLINK("https://www.cadth.ca/teduglutide-0", "Revestive")</f>
        <v>Revestive</v>
      </c>
      <c r="B633" t="s">
        <v>2020</v>
      </c>
      <c r="C633" t="s">
        <v>2021</v>
      </c>
      <c r="D633" t="s">
        <v>55</v>
      </c>
      <c r="E633" t="s">
        <v>40</v>
      </c>
      <c r="F633" s="3">
        <v>43614</v>
      </c>
      <c r="G633" s="3">
        <v>43788</v>
      </c>
      <c r="H633" t="s">
        <v>2022</v>
      </c>
      <c r="I633" t="s">
        <v>33</v>
      </c>
      <c r="N633" s="3"/>
      <c r="O633" t="s">
        <v>2023</v>
      </c>
      <c r="Q633" s="3"/>
      <c r="R633" s="3"/>
      <c r="S633" s="3"/>
      <c r="T633" t="s">
        <v>36</v>
      </c>
      <c r="V633" s="3"/>
      <c r="W633" s="3"/>
      <c r="X633" s="3"/>
      <c r="Y633" s="3"/>
      <c r="Z633" s="3"/>
      <c r="AA633" s="3"/>
      <c r="AB633" s="3"/>
    </row>
    <row r="634" spans="1:28" x14ac:dyDescent="0.3">
      <c r="A634" s="2" t="str">
        <f>HYPERLINK("https://www.cadth.ca/teduglutide", "Revestive")</f>
        <v>Revestive</v>
      </c>
      <c r="B634" t="s">
        <v>2024</v>
      </c>
      <c r="C634" t="s">
        <v>2025</v>
      </c>
      <c r="D634" t="s">
        <v>55</v>
      </c>
      <c r="E634" t="s">
        <v>40</v>
      </c>
      <c r="F634" s="3">
        <v>42334</v>
      </c>
      <c r="G634" s="3">
        <v>42578</v>
      </c>
      <c r="H634" t="s">
        <v>2026</v>
      </c>
      <c r="I634" t="s">
        <v>33</v>
      </c>
      <c r="N634" s="3"/>
      <c r="O634" t="s">
        <v>2027</v>
      </c>
      <c r="Q634" s="3"/>
      <c r="R634" s="3"/>
      <c r="S634" s="3"/>
      <c r="T634" t="s">
        <v>36</v>
      </c>
      <c r="V634" s="3"/>
      <c r="W634" s="3"/>
      <c r="X634" s="3"/>
      <c r="Y634" s="3"/>
      <c r="Z634" s="3"/>
      <c r="AA634" s="3"/>
      <c r="AB634" s="3"/>
    </row>
    <row r="635" spans="1:28" x14ac:dyDescent="0.3">
      <c r="A635" s="2" t="str">
        <f>HYPERLINK("https://www.cadth.ca/node/79666", "Revlimid")</f>
        <v>Revlimid</v>
      </c>
      <c r="B635" t="s">
        <v>2028</v>
      </c>
      <c r="C635" t="s">
        <v>2029</v>
      </c>
      <c r="D635" t="s">
        <v>55</v>
      </c>
      <c r="E635" t="s">
        <v>40</v>
      </c>
      <c r="F635" s="3">
        <v>41369</v>
      </c>
      <c r="G635" s="3">
        <v>41569</v>
      </c>
      <c r="H635" t="s">
        <v>2030</v>
      </c>
      <c r="I635" t="s">
        <v>33</v>
      </c>
      <c r="J635" t="s">
        <v>2031</v>
      </c>
      <c r="K635" t="s">
        <v>34</v>
      </c>
      <c r="L635" t="s">
        <v>2032</v>
      </c>
      <c r="M635" t="s">
        <v>60</v>
      </c>
      <c r="N635" s="3"/>
      <c r="O635" t="s">
        <v>61</v>
      </c>
      <c r="P635" t="s">
        <v>61</v>
      </c>
      <c r="Q635" s="3"/>
      <c r="R635" s="3"/>
      <c r="S635" s="3">
        <v>41383</v>
      </c>
      <c r="U635" t="s">
        <v>62</v>
      </c>
      <c r="V635" s="3">
        <v>41383</v>
      </c>
      <c r="W635" s="3">
        <v>41492</v>
      </c>
      <c r="X635" s="3">
        <v>41536</v>
      </c>
      <c r="Y635" s="3">
        <v>41550</v>
      </c>
      <c r="Z635" s="3">
        <v>41565</v>
      </c>
      <c r="AA635" s="3"/>
      <c r="AB635" s="3">
        <v>41584</v>
      </c>
    </row>
    <row r="636" spans="1:28" x14ac:dyDescent="0.3">
      <c r="A636" s="2" t="str">
        <f>HYPERLINK("https://www.cadth.ca/node/88630", "Revlimid")</f>
        <v>Revlimid</v>
      </c>
      <c r="B636" t="s">
        <v>2028</v>
      </c>
      <c r="C636" t="s">
        <v>2033</v>
      </c>
      <c r="D636" t="s">
        <v>55</v>
      </c>
      <c r="E636" t="s">
        <v>40</v>
      </c>
      <c r="F636" s="3">
        <v>42128</v>
      </c>
      <c r="G636" s="3">
        <v>42341</v>
      </c>
      <c r="H636" t="s">
        <v>2034</v>
      </c>
      <c r="I636" t="s">
        <v>33</v>
      </c>
      <c r="J636" t="s">
        <v>2035</v>
      </c>
      <c r="K636" t="s">
        <v>34</v>
      </c>
      <c r="L636" t="s">
        <v>2036</v>
      </c>
      <c r="M636" t="s">
        <v>60</v>
      </c>
      <c r="N636" s="3"/>
      <c r="O636" t="s">
        <v>61</v>
      </c>
      <c r="P636" t="s">
        <v>61</v>
      </c>
      <c r="Q636" s="3"/>
      <c r="R636" s="3"/>
      <c r="S636" s="3">
        <v>42135</v>
      </c>
      <c r="U636" t="s">
        <v>62</v>
      </c>
      <c r="V636" s="3">
        <v>42143</v>
      </c>
      <c r="W636" s="3">
        <v>42192</v>
      </c>
      <c r="X636" s="3">
        <v>42264</v>
      </c>
      <c r="Y636" s="3">
        <v>42278</v>
      </c>
      <c r="Z636" s="3">
        <v>42293</v>
      </c>
      <c r="AA636" s="3"/>
      <c r="AB636" s="3">
        <v>42356</v>
      </c>
    </row>
    <row r="637" spans="1:28" x14ac:dyDescent="0.3">
      <c r="A637" s="2" t="str">
        <f>HYPERLINK("https://www.cadth.ca/node/112218", "Revlimid")</f>
        <v>Revlimid</v>
      </c>
      <c r="B637" t="s">
        <v>2028</v>
      </c>
      <c r="C637" t="s">
        <v>2037</v>
      </c>
      <c r="D637" t="s">
        <v>127</v>
      </c>
      <c r="E637" t="s">
        <v>40</v>
      </c>
      <c r="F637" s="3">
        <v>43455</v>
      </c>
      <c r="G637" s="3">
        <v>43635</v>
      </c>
      <c r="H637" t="s">
        <v>2038</v>
      </c>
      <c r="I637" t="s">
        <v>33</v>
      </c>
      <c r="J637" t="s">
        <v>2039</v>
      </c>
      <c r="K637" t="s">
        <v>34</v>
      </c>
      <c r="L637" t="s">
        <v>2040</v>
      </c>
      <c r="N637" s="3"/>
      <c r="O637" t="s">
        <v>61</v>
      </c>
      <c r="P637" t="s">
        <v>61</v>
      </c>
      <c r="Q637" s="3">
        <v>43455</v>
      </c>
      <c r="R637" s="3"/>
      <c r="S637" s="3">
        <v>43479</v>
      </c>
      <c r="V637" s="3">
        <v>43479</v>
      </c>
      <c r="W637" s="3">
        <v>43529</v>
      </c>
      <c r="X637" s="3">
        <v>43601</v>
      </c>
      <c r="Y637" s="3">
        <v>43616</v>
      </c>
      <c r="Z637" s="3">
        <v>43630</v>
      </c>
      <c r="AA637" s="3"/>
      <c r="AB637" s="3">
        <v>43651</v>
      </c>
    </row>
    <row r="638" spans="1:28" x14ac:dyDescent="0.3">
      <c r="A638" s="2" t="str">
        <f>HYPERLINK("https://www.cadth.ca/eltrombopag", "Revolade")</f>
        <v>Revolade</v>
      </c>
      <c r="B638" t="s">
        <v>2041</v>
      </c>
      <c r="C638" t="s">
        <v>2042</v>
      </c>
      <c r="D638" t="s">
        <v>50</v>
      </c>
      <c r="E638" t="s">
        <v>40</v>
      </c>
      <c r="F638" s="3">
        <v>41729</v>
      </c>
      <c r="G638" s="3">
        <v>42081</v>
      </c>
      <c r="H638" t="s">
        <v>2043</v>
      </c>
      <c r="I638" t="s">
        <v>33</v>
      </c>
      <c r="N638" s="3"/>
      <c r="O638" t="s">
        <v>455</v>
      </c>
      <c r="Q638" s="3"/>
      <c r="R638" s="3"/>
      <c r="S638" s="3"/>
      <c r="T638" t="s">
        <v>36</v>
      </c>
      <c r="V638" s="3"/>
      <c r="W638" s="3"/>
      <c r="X638" s="3"/>
      <c r="Y638" s="3"/>
      <c r="Z638" s="3"/>
      <c r="AA638" s="3"/>
      <c r="AB638" s="3"/>
    </row>
    <row r="639" spans="1:28" x14ac:dyDescent="0.3">
      <c r="A639" s="2" t="str">
        <f>HYPERLINK("https://www.cadth.ca/eltrombopag-0", "Revolade")</f>
        <v>Revolade</v>
      </c>
      <c r="B639" t="s">
        <v>2044</v>
      </c>
      <c r="D639" t="s">
        <v>577</v>
      </c>
      <c r="E639" t="s">
        <v>578</v>
      </c>
      <c r="F639" s="3"/>
      <c r="G639" s="3"/>
      <c r="H639" t="s">
        <v>391</v>
      </c>
      <c r="I639" t="s">
        <v>33</v>
      </c>
      <c r="N639" s="3"/>
      <c r="O639" t="s">
        <v>71</v>
      </c>
      <c r="Q639" s="3"/>
      <c r="R639" s="3"/>
      <c r="S639" s="3"/>
      <c r="T639" t="s">
        <v>579</v>
      </c>
      <c r="V639" s="3"/>
      <c r="W639" s="3"/>
      <c r="X639" s="3"/>
      <c r="Y639" s="3"/>
      <c r="Z639" s="3"/>
      <c r="AA639" s="3"/>
      <c r="AB639" s="3"/>
    </row>
    <row r="640" spans="1:28" x14ac:dyDescent="0.3">
      <c r="A640" s="2" t="str">
        <f>HYPERLINK("https://www.cadth.ca/eltrombopag-olamine", "Revolade")</f>
        <v>Revolade</v>
      </c>
      <c r="B640" t="s">
        <v>2045</v>
      </c>
      <c r="C640" t="s">
        <v>2046</v>
      </c>
      <c r="D640" t="s">
        <v>39</v>
      </c>
      <c r="E640" t="s">
        <v>40</v>
      </c>
      <c r="F640" s="3">
        <v>40659</v>
      </c>
      <c r="G640" s="3">
        <v>40840</v>
      </c>
      <c r="H640" t="s">
        <v>2047</v>
      </c>
      <c r="I640" t="s">
        <v>33</v>
      </c>
      <c r="N640" s="3"/>
      <c r="O640" t="s">
        <v>455</v>
      </c>
      <c r="Q640" s="3"/>
      <c r="R640" s="3"/>
      <c r="S640" s="3"/>
      <c r="T640" t="s">
        <v>36</v>
      </c>
      <c r="V640" s="3"/>
      <c r="W640" s="3"/>
      <c r="X640" s="3"/>
      <c r="Y640" s="3"/>
      <c r="Z640" s="3"/>
      <c r="AA640" s="3"/>
      <c r="AB640" s="3"/>
    </row>
    <row r="641" spans="1:29" x14ac:dyDescent="0.3">
      <c r="A641" s="2" t="str">
        <f>HYPERLINK("https://www.cadth.ca/brexpiprazole", "Rexulti")</f>
        <v>Rexulti</v>
      </c>
      <c r="B641" t="s">
        <v>2048</v>
      </c>
      <c r="C641" t="s">
        <v>2049</v>
      </c>
      <c r="D641" t="s">
        <v>55</v>
      </c>
      <c r="E641" t="s">
        <v>40</v>
      </c>
      <c r="F641" s="3">
        <v>42769</v>
      </c>
      <c r="G641" s="3">
        <v>43061</v>
      </c>
      <c r="H641" t="s">
        <v>2050</v>
      </c>
      <c r="I641" t="s">
        <v>33</v>
      </c>
      <c r="N641" s="3"/>
      <c r="O641" t="s">
        <v>2051</v>
      </c>
      <c r="Q641" s="3"/>
      <c r="R641" s="3"/>
      <c r="S641" s="3"/>
      <c r="T641" t="s">
        <v>36</v>
      </c>
      <c r="V641" s="3"/>
      <c r="W641" s="3"/>
      <c r="X641" s="3"/>
      <c r="Y641" s="3"/>
      <c r="Z641" s="3"/>
      <c r="AA641" s="3"/>
      <c r="AB641" s="3"/>
    </row>
    <row r="642" spans="1:29" x14ac:dyDescent="0.3">
      <c r="A642" s="2" t="str">
        <f>HYPERLINK("https://www.cadth.ca/atazanavir", "Reyataz")</f>
        <v>Reyataz</v>
      </c>
      <c r="B642" t="s">
        <v>2052</v>
      </c>
      <c r="C642" t="s">
        <v>273</v>
      </c>
      <c r="D642" t="s">
        <v>262</v>
      </c>
      <c r="E642" t="s">
        <v>40</v>
      </c>
      <c r="F642" s="3">
        <v>37971</v>
      </c>
      <c r="G642" s="3">
        <v>38134</v>
      </c>
      <c r="H642" t="s">
        <v>2053</v>
      </c>
      <c r="I642" t="s">
        <v>33</v>
      </c>
      <c r="N642" s="3"/>
      <c r="O642" t="s">
        <v>2054</v>
      </c>
      <c r="Q642" s="3"/>
      <c r="R642" s="3"/>
      <c r="S642" s="3"/>
      <c r="T642" t="s">
        <v>36</v>
      </c>
      <c r="V642" s="3"/>
      <c r="W642" s="3"/>
      <c r="X642" s="3"/>
      <c r="Y642" s="3"/>
      <c r="Z642" s="3"/>
      <c r="AA642" s="3"/>
      <c r="AB642" s="3"/>
    </row>
    <row r="643" spans="1:29" x14ac:dyDescent="0.3">
      <c r="A643" s="2" t="str">
        <f>HYPERLINK("https://www.cadth.ca/upadacitinib-0", "Rinvoq")</f>
        <v>Rinvoq</v>
      </c>
      <c r="B643" t="s">
        <v>2055</v>
      </c>
      <c r="C643" t="s">
        <v>2056</v>
      </c>
      <c r="D643" t="s">
        <v>55</v>
      </c>
      <c r="E643" t="s">
        <v>40</v>
      </c>
      <c r="F643" s="3">
        <v>44200</v>
      </c>
      <c r="G643" s="3">
        <v>44428</v>
      </c>
      <c r="H643" t="s">
        <v>2057</v>
      </c>
      <c r="I643" t="s">
        <v>33</v>
      </c>
      <c r="N643" s="3"/>
      <c r="O643" t="s">
        <v>1057</v>
      </c>
      <c r="Q643" s="3"/>
      <c r="R643" s="3"/>
      <c r="S643" s="3"/>
      <c r="T643" t="s">
        <v>36</v>
      </c>
      <c r="V643" s="3"/>
      <c r="W643" s="3"/>
      <c r="X643" s="3"/>
      <c r="Y643" s="3"/>
      <c r="Z643" s="3"/>
      <c r="AA643" s="3"/>
      <c r="AB643" s="3"/>
    </row>
    <row r="644" spans="1:29" x14ac:dyDescent="0.3">
      <c r="A644" s="2" t="str">
        <f>HYPERLINK("https://www.cadth.ca/upadacitinib-1", "Rinvoq")</f>
        <v>Rinvoq</v>
      </c>
      <c r="B644" t="s">
        <v>2055</v>
      </c>
      <c r="C644" t="s">
        <v>732</v>
      </c>
      <c r="E644" t="s">
        <v>1340</v>
      </c>
      <c r="F644" s="3">
        <v>44299</v>
      </c>
      <c r="G644" s="3"/>
      <c r="H644" t="s">
        <v>2058</v>
      </c>
      <c r="I644" t="s">
        <v>33</v>
      </c>
      <c r="N644" s="3"/>
      <c r="O644" t="s">
        <v>1057</v>
      </c>
      <c r="Q644" s="3"/>
      <c r="R644" s="3"/>
      <c r="S644" s="3"/>
      <c r="T644" t="s">
        <v>36</v>
      </c>
      <c r="V644" s="3"/>
      <c r="W644" s="3"/>
      <c r="X644" s="3"/>
      <c r="Y644" s="3"/>
      <c r="Z644" s="3"/>
      <c r="AA644" s="3"/>
      <c r="AB644" s="3"/>
    </row>
    <row r="645" spans="1:29" x14ac:dyDescent="0.3">
      <c r="A645" s="2" t="str">
        <f>HYPERLINK("https://www.cadth.ca/upadacitinib", "Rinvoq")</f>
        <v>Rinvoq</v>
      </c>
      <c r="B645" t="s">
        <v>2055</v>
      </c>
      <c r="C645" t="s">
        <v>84</v>
      </c>
      <c r="D645" t="s">
        <v>55</v>
      </c>
      <c r="E645" t="s">
        <v>40</v>
      </c>
      <c r="F645" s="3">
        <v>43650</v>
      </c>
      <c r="G645" s="3">
        <v>43865</v>
      </c>
      <c r="H645" t="s">
        <v>2059</v>
      </c>
      <c r="I645" t="s">
        <v>33</v>
      </c>
      <c r="N645" s="3"/>
      <c r="O645" t="s">
        <v>1057</v>
      </c>
      <c r="Q645" s="3"/>
      <c r="R645" s="3"/>
      <c r="S645" s="3"/>
      <c r="T645" t="s">
        <v>36</v>
      </c>
      <c r="V645" s="3"/>
      <c r="W645" s="3"/>
      <c r="X645" s="3"/>
      <c r="Y645" s="3"/>
      <c r="Z645" s="3"/>
      <c r="AA645" s="3"/>
      <c r="AB645" s="3"/>
    </row>
    <row r="646" spans="1:29" x14ac:dyDescent="0.3">
      <c r="A646" s="2" t="str">
        <f>HYPERLINK("https://www.cadth.ca/rituximab", "Rituxan")</f>
        <v>Rituxan</v>
      </c>
      <c r="B646" t="s">
        <v>2060</v>
      </c>
      <c r="C646" t="s">
        <v>84</v>
      </c>
      <c r="D646" t="s">
        <v>46</v>
      </c>
      <c r="E646" t="s">
        <v>40</v>
      </c>
      <c r="F646" s="3">
        <v>38894</v>
      </c>
      <c r="G646" s="3">
        <v>39127</v>
      </c>
      <c r="H646" t="s">
        <v>2061</v>
      </c>
      <c r="I646" t="s">
        <v>33</v>
      </c>
      <c r="N646" s="3"/>
      <c r="O646" t="s">
        <v>80</v>
      </c>
      <c r="Q646" s="3"/>
      <c r="R646" s="3"/>
      <c r="S646" s="3"/>
      <c r="T646" t="s">
        <v>36</v>
      </c>
      <c r="V646" s="3"/>
      <c r="W646" s="3"/>
      <c r="X646" s="3"/>
      <c r="Y646" s="3"/>
      <c r="Z646" s="3"/>
      <c r="AA646" s="3"/>
      <c r="AB646" s="3"/>
    </row>
    <row r="647" spans="1:29" x14ac:dyDescent="0.3">
      <c r="A647" s="2" t="str">
        <f>HYPERLINK("https://www.cadth.ca/node/99916", "Rituxan")</f>
        <v>Rituxan</v>
      </c>
      <c r="B647" t="s">
        <v>2060</v>
      </c>
      <c r="C647" t="s">
        <v>403</v>
      </c>
      <c r="D647" t="s">
        <v>127</v>
      </c>
      <c r="E647" t="s">
        <v>40</v>
      </c>
      <c r="F647" s="3">
        <v>42779</v>
      </c>
      <c r="G647" s="3">
        <v>42978</v>
      </c>
      <c r="H647" t="s">
        <v>2062</v>
      </c>
      <c r="I647" t="s">
        <v>33</v>
      </c>
      <c r="J647" t="s">
        <v>2063</v>
      </c>
      <c r="K647" t="s">
        <v>284</v>
      </c>
      <c r="L647" t="s">
        <v>2064</v>
      </c>
      <c r="M647" t="s">
        <v>60</v>
      </c>
      <c r="N647" s="3"/>
      <c r="O647" t="s">
        <v>80</v>
      </c>
      <c r="P647" t="s">
        <v>2065</v>
      </c>
      <c r="Q647" s="3"/>
      <c r="R647" s="3"/>
      <c r="S647" s="3">
        <v>42787</v>
      </c>
      <c r="U647" t="s">
        <v>62</v>
      </c>
      <c r="V647" s="3">
        <v>42794</v>
      </c>
      <c r="W647" s="3">
        <v>42837</v>
      </c>
      <c r="X647" s="3">
        <v>42901</v>
      </c>
      <c r="Y647" s="3">
        <v>42915</v>
      </c>
      <c r="Z647" s="3">
        <v>42930</v>
      </c>
      <c r="AA647" s="3"/>
      <c r="AB647" s="3">
        <v>42996</v>
      </c>
    </row>
    <row r="648" spans="1:29" x14ac:dyDescent="0.3">
      <c r="A648" s="2" t="str">
        <f>HYPERLINK("https://www.cadth.ca/rituximab-0", "Rituxan")</f>
        <v>Rituxan</v>
      </c>
      <c r="B648" t="s">
        <v>2060</v>
      </c>
      <c r="C648" t="s">
        <v>2066</v>
      </c>
      <c r="D648" t="s">
        <v>46</v>
      </c>
      <c r="E648" t="s">
        <v>40</v>
      </c>
      <c r="F648" s="3">
        <v>40963</v>
      </c>
      <c r="G648" s="3">
        <v>41137</v>
      </c>
      <c r="H648" t="s">
        <v>2067</v>
      </c>
      <c r="I648" t="s">
        <v>33</v>
      </c>
      <c r="N648" s="3"/>
      <c r="O648" t="s">
        <v>77</v>
      </c>
      <c r="Q648" s="3"/>
      <c r="R648" s="3"/>
      <c r="S648" s="3"/>
      <c r="T648" t="s">
        <v>36</v>
      </c>
      <c r="V648" s="3"/>
      <c r="W648" s="3"/>
      <c r="X648" s="3"/>
      <c r="Y648" s="3"/>
      <c r="Z648" s="3"/>
      <c r="AA648" s="3"/>
      <c r="AB648" s="3"/>
    </row>
    <row r="649" spans="1:29" x14ac:dyDescent="0.3">
      <c r="A649" s="2" t="str">
        <f>HYPERLINK("https://www.cadth.ca/ivermectin", "Rosiver")</f>
        <v>Rosiver</v>
      </c>
      <c r="B649" t="s">
        <v>2068</v>
      </c>
      <c r="C649" t="s">
        <v>265</v>
      </c>
      <c r="D649" t="s">
        <v>50</v>
      </c>
      <c r="E649" t="s">
        <v>40</v>
      </c>
      <c r="F649" s="3">
        <v>42124</v>
      </c>
      <c r="G649" s="3">
        <v>42327</v>
      </c>
      <c r="H649" t="s">
        <v>2069</v>
      </c>
      <c r="I649" t="s">
        <v>33</v>
      </c>
      <c r="N649" s="3"/>
      <c r="O649" t="s">
        <v>267</v>
      </c>
      <c r="Q649" s="3"/>
      <c r="R649" s="3"/>
      <c r="S649" s="3"/>
      <c r="T649" t="s">
        <v>36</v>
      </c>
      <c r="V649" s="3"/>
      <c r="W649" s="3"/>
      <c r="X649" s="3"/>
      <c r="Y649" s="3"/>
      <c r="Z649" s="3"/>
      <c r="AA649" s="3"/>
      <c r="AB649" s="3"/>
    </row>
    <row r="650" spans="1:29" x14ac:dyDescent="0.3">
      <c r="A650" s="2" t="str">
        <f>HYPERLINK("https://www.cadth.ca/node/119017", "Rozlytrek")</f>
        <v>Rozlytrek</v>
      </c>
      <c r="B650" t="s">
        <v>2070</v>
      </c>
      <c r="C650" t="s">
        <v>2071</v>
      </c>
      <c r="D650" t="s">
        <v>55</v>
      </c>
      <c r="E650" t="s">
        <v>40</v>
      </c>
      <c r="F650" s="3">
        <v>43838</v>
      </c>
      <c r="G650" s="3">
        <v>44223</v>
      </c>
      <c r="H650" t="s">
        <v>2072</v>
      </c>
      <c r="I650" t="s">
        <v>33</v>
      </c>
      <c r="J650" t="s">
        <v>2073</v>
      </c>
      <c r="K650" t="s">
        <v>205</v>
      </c>
      <c r="L650" t="s">
        <v>2074</v>
      </c>
      <c r="M650" t="s">
        <v>60</v>
      </c>
      <c r="N650" s="3">
        <v>43956</v>
      </c>
      <c r="O650" t="s">
        <v>852</v>
      </c>
      <c r="P650" t="s">
        <v>852</v>
      </c>
      <c r="Q650" s="3"/>
      <c r="R650" s="3"/>
      <c r="S650" s="3">
        <v>43852</v>
      </c>
      <c r="V650" s="3">
        <v>43852</v>
      </c>
      <c r="W650" s="3">
        <v>43915</v>
      </c>
      <c r="X650" s="3">
        <v>44182</v>
      </c>
      <c r="Y650" s="3">
        <v>44204</v>
      </c>
      <c r="Z650" s="3">
        <v>44218</v>
      </c>
      <c r="AA650" s="3"/>
      <c r="AB650" s="3">
        <v>44238</v>
      </c>
    </row>
    <row r="651" spans="1:29" x14ac:dyDescent="0.3">
      <c r="A651" s="2" t="str">
        <f>HYPERLINK("https://www.cadth.ca/amifampridine", "Ruzurgi")</f>
        <v>Ruzurgi</v>
      </c>
      <c r="B651" t="s">
        <v>2075</v>
      </c>
      <c r="C651" t="s">
        <v>2076</v>
      </c>
      <c r="D651" t="s">
        <v>55</v>
      </c>
      <c r="E651" t="s">
        <v>40</v>
      </c>
      <c r="F651" s="3">
        <v>44109</v>
      </c>
      <c r="G651" s="3">
        <v>44306</v>
      </c>
      <c r="H651" t="s">
        <v>2077</v>
      </c>
      <c r="I651" t="s">
        <v>33</v>
      </c>
      <c r="N651" s="3"/>
      <c r="O651" t="s">
        <v>2078</v>
      </c>
      <c r="Q651" s="3"/>
      <c r="R651" s="3"/>
      <c r="S651" s="3"/>
      <c r="T651" t="s">
        <v>36</v>
      </c>
      <c r="V651" s="3"/>
      <c r="W651" s="3"/>
      <c r="X651" s="3"/>
      <c r="Y651" s="3"/>
      <c r="Z651" s="3"/>
      <c r="AA651" s="3"/>
      <c r="AB651" s="3"/>
    </row>
    <row r="652" spans="1:29" x14ac:dyDescent="0.3">
      <c r="A652" s="2" t="str">
        <f>HYPERLINK("https://www.cadth.ca/semaglutide-0", "Rybelsus")</f>
        <v>Rybelsus</v>
      </c>
      <c r="B652" t="s">
        <v>1817</v>
      </c>
      <c r="C652" t="s">
        <v>1189</v>
      </c>
      <c r="D652" t="s">
        <v>55</v>
      </c>
      <c r="E652" t="s">
        <v>40</v>
      </c>
      <c r="F652" s="3">
        <v>44161</v>
      </c>
      <c r="G652" s="3">
        <v>44355</v>
      </c>
      <c r="H652" t="s">
        <v>2079</v>
      </c>
      <c r="I652" t="s">
        <v>33</v>
      </c>
      <c r="N652" s="3"/>
      <c r="O652" t="s">
        <v>1433</v>
      </c>
      <c r="Q652" s="3"/>
      <c r="R652" s="3"/>
      <c r="S652" s="3"/>
      <c r="T652" t="s">
        <v>36</v>
      </c>
      <c r="V652" s="3"/>
      <c r="W652" s="3"/>
      <c r="X652" s="3"/>
      <c r="Y652" s="3"/>
      <c r="Z652" s="3"/>
      <c r="AA652" s="3"/>
      <c r="AB652" s="3"/>
    </row>
    <row r="653" spans="1:29" x14ac:dyDescent="0.3">
      <c r="A653" s="2" t="str">
        <f>HYPERLINK("https://www.cadth.ca/node/102362", "Rydapt")</f>
        <v>Rydapt</v>
      </c>
      <c r="B653" t="s">
        <v>2080</v>
      </c>
      <c r="C653" t="s">
        <v>2081</v>
      </c>
      <c r="D653" t="s">
        <v>109</v>
      </c>
      <c r="E653" t="s">
        <v>40</v>
      </c>
      <c r="F653" s="3">
        <v>42898</v>
      </c>
      <c r="G653" s="3">
        <v>43088</v>
      </c>
      <c r="H653" t="s">
        <v>2082</v>
      </c>
      <c r="I653" t="s">
        <v>33</v>
      </c>
      <c r="J653" t="s">
        <v>2083</v>
      </c>
      <c r="K653" t="s">
        <v>284</v>
      </c>
      <c r="L653" t="s">
        <v>2084</v>
      </c>
      <c r="M653" t="s">
        <v>60</v>
      </c>
      <c r="N653" s="3">
        <v>42937</v>
      </c>
      <c r="O653" t="s">
        <v>71</v>
      </c>
      <c r="P653" t="s">
        <v>71</v>
      </c>
      <c r="Q653" s="3"/>
      <c r="R653" s="3"/>
      <c r="S653" s="3">
        <v>42905</v>
      </c>
      <c r="U653" t="s">
        <v>99</v>
      </c>
      <c r="V653" s="3">
        <v>42912</v>
      </c>
      <c r="W653" s="3">
        <v>43004</v>
      </c>
      <c r="X653" s="3">
        <v>43055</v>
      </c>
      <c r="Y653" s="3">
        <v>43069</v>
      </c>
      <c r="Z653" s="3">
        <v>43083</v>
      </c>
      <c r="AA653" s="3"/>
      <c r="AB653" s="3">
        <v>43111</v>
      </c>
      <c r="AC653" t="s">
        <v>2085</v>
      </c>
    </row>
    <row r="654" spans="1:29" x14ac:dyDescent="0.3">
      <c r="A654" s="2" t="str">
        <f>HYPERLINK("https://www.cadth.ca/node/116426", "Rydapt")</f>
        <v>Rydapt</v>
      </c>
      <c r="B654" t="s">
        <v>2080</v>
      </c>
      <c r="C654" t="s">
        <v>2086</v>
      </c>
      <c r="D654" t="s">
        <v>127</v>
      </c>
      <c r="E654" t="s">
        <v>40</v>
      </c>
      <c r="F654" s="3">
        <v>43690</v>
      </c>
      <c r="G654" s="3">
        <v>43923</v>
      </c>
      <c r="H654" t="s">
        <v>2087</v>
      </c>
      <c r="I654" t="s">
        <v>33</v>
      </c>
      <c r="J654" t="s">
        <v>2083</v>
      </c>
      <c r="K654" t="s">
        <v>673</v>
      </c>
      <c r="L654" t="s">
        <v>2088</v>
      </c>
      <c r="N654" s="3">
        <v>43376</v>
      </c>
      <c r="O654" t="s">
        <v>71</v>
      </c>
      <c r="P654" t="s">
        <v>71</v>
      </c>
      <c r="Q654" s="3"/>
      <c r="R654" s="3"/>
      <c r="S654" s="3">
        <v>43704</v>
      </c>
      <c r="V654" s="3">
        <v>43704</v>
      </c>
      <c r="W654" s="3">
        <v>43754</v>
      </c>
      <c r="X654" s="3">
        <v>43846</v>
      </c>
      <c r="Y654" s="3">
        <v>43860</v>
      </c>
      <c r="Z654" s="3">
        <v>43874</v>
      </c>
      <c r="AA654" s="3"/>
      <c r="AB654" s="3">
        <v>43941</v>
      </c>
    </row>
    <row r="655" spans="1:29" x14ac:dyDescent="0.3">
      <c r="A655" s="2" t="str">
        <f>HYPERLINK("https://www.cadth.ca/tolvaptan", "Samsca")</f>
        <v>Samsca</v>
      </c>
      <c r="B655" t="s">
        <v>1237</v>
      </c>
      <c r="C655" t="s">
        <v>2089</v>
      </c>
      <c r="D655" t="s">
        <v>39</v>
      </c>
      <c r="E655" t="s">
        <v>40</v>
      </c>
      <c r="F655" s="3">
        <v>41093</v>
      </c>
      <c r="G655" s="3">
        <v>41318</v>
      </c>
      <c r="H655" t="s">
        <v>2090</v>
      </c>
      <c r="I655" t="s">
        <v>33</v>
      </c>
      <c r="N655" s="3"/>
      <c r="O655" t="s">
        <v>1240</v>
      </c>
      <c r="Q655" s="3"/>
      <c r="R655" s="3"/>
      <c r="S655" s="3"/>
      <c r="T655" t="s">
        <v>36</v>
      </c>
      <c r="V655" s="3"/>
      <c r="W655" s="3"/>
      <c r="X655" s="3"/>
      <c r="Y655" s="3"/>
      <c r="Z655" s="3"/>
      <c r="AA655" s="3"/>
      <c r="AB655" s="3"/>
    </row>
    <row r="656" spans="1:29" x14ac:dyDescent="0.3">
      <c r="A656" s="2" t="str">
        <f>HYPERLINK("https://www.cadth.ca/asenapine", "Saphris")</f>
        <v>Saphris</v>
      </c>
      <c r="B656" t="s">
        <v>2091</v>
      </c>
      <c r="C656" t="s">
        <v>38</v>
      </c>
      <c r="D656" t="s">
        <v>39</v>
      </c>
      <c r="E656" t="s">
        <v>40</v>
      </c>
      <c r="F656" s="3">
        <v>40889</v>
      </c>
      <c r="G656" s="3">
        <v>41074</v>
      </c>
      <c r="H656" t="s">
        <v>2092</v>
      </c>
      <c r="I656" t="s">
        <v>33</v>
      </c>
      <c r="N656" s="3"/>
      <c r="O656" t="s">
        <v>568</v>
      </c>
      <c r="Q656" s="3"/>
      <c r="R656" s="3"/>
      <c r="S656" s="3"/>
      <c r="T656" t="s">
        <v>36</v>
      </c>
      <c r="V656" s="3"/>
      <c r="W656" s="3"/>
      <c r="X656" s="3"/>
      <c r="Y656" s="3"/>
      <c r="Z656" s="3"/>
      <c r="AA656" s="3"/>
      <c r="AB656" s="3"/>
    </row>
    <row r="657" spans="1:28" x14ac:dyDescent="0.3">
      <c r="A657" s="2" t="str">
        <f>HYPERLINK("https://www.cadth.ca/asenapine-0", "Saphris")</f>
        <v>Saphris</v>
      </c>
      <c r="B657" t="s">
        <v>2091</v>
      </c>
      <c r="C657" t="s">
        <v>2093</v>
      </c>
      <c r="D657" t="s">
        <v>46</v>
      </c>
      <c r="E657" t="s">
        <v>40</v>
      </c>
      <c r="F657" s="3">
        <v>40889</v>
      </c>
      <c r="G657" s="3">
        <v>41074</v>
      </c>
      <c r="H657" t="s">
        <v>2094</v>
      </c>
      <c r="I657" t="s">
        <v>33</v>
      </c>
      <c r="N657" s="3"/>
      <c r="O657" t="s">
        <v>568</v>
      </c>
      <c r="Q657" s="3"/>
      <c r="R657" s="3"/>
      <c r="S657" s="3"/>
      <c r="T657" t="s">
        <v>36</v>
      </c>
      <c r="V657" s="3"/>
      <c r="W657" s="3"/>
      <c r="X657" s="3"/>
      <c r="Y657" s="3"/>
      <c r="Z657" s="3"/>
      <c r="AA657" s="3"/>
      <c r="AB657" s="3"/>
    </row>
    <row r="658" spans="1:28" x14ac:dyDescent="0.3">
      <c r="A658" s="2" t="str">
        <f>HYPERLINK("https://www.cadth.ca/node/121958", "Sarclisa")</f>
        <v>Sarclisa</v>
      </c>
      <c r="B658" t="s">
        <v>2095</v>
      </c>
      <c r="C658" t="s">
        <v>663</v>
      </c>
      <c r="E658" t="s">
        <v>40</v>
      </c>
      <c r="F658" s="3">
        <v>44060</v>
      </c>
      <c r="G658" s="3">
        <v>44287</v>
      </c>
      <c r="H658" t="s">
        <v>2096</v>
      </c>
      <c r="I658" t="s">
        <v>33</v>
      </c>
      <c r="J658" t="s">
        <v>2097</v>
      </c>
      <c r="K658" t="s">
        <v>34</v>
      </c>
      <c r="L658" t="s">
        <v>2098</v>
      </c>
      <c r="N658" s="3">
        <v>43950</v>
      </c>
      <c r="O658" t="s">
        <v>535</v>
      </c>
      <c r="P658" t="s">
        <v>535</v>
      </c>
      <c r="Q658" s="3"/>
      <c r="R658" s="3"/>
      <c r="S658" s="3">
        <v>44074</v>
      </c>
      <c r="V658" s="3">
        <v>44074</v>
      </c>
      <c r="W658" s="3">
        <v>44132</v>
      </c>
      <c r="X658" s="3">
        <v>44217</v>
      </c>
      <c r="Y658" s="3">
        <v>44231</v>
      </c>
      <c r="Z658" s="3">
        <v>44246</v>
      </c>
      <c r="AA658" s="3"/>
      <c r="AB658" s="3">
        <v>44305</v>
      </c>
    </row>
    <row r="659" spans="1:28" x14ac:dyDescent="0.3">
      <c r="A659" s="2" t="str">
        <f>HYPERLINK("https://www.cadth.ca/isatuximab", "Sarclisa")</f>
        <v>Sarclisa</v>
      </c>
      <c r="B659" t="s">
        <v>2099</v>
      </c>
      <c r="C659" t="s">
        <v>30</v>
      </c>
      <c r="E659" t="s">
        <v>31</v>
      </c>
      <c r="F659" s="3">
        <v>44392</v>
      </c>
      <c r="G659" s="3"/>
      <c r="H659" t="s">
        <v>2100</v>
      </c>
      <c r="I659" t="s">
        <v>33</v>
      </c>
      <c r="K659" t="s">
        <v>34</v>
      </c>
      <c r="N659" s="3"/>
      <c r="O659" t="s">
        <v>731</v>
      </c>
      <c r="Q659" s="3"/>
      <c r="R659" s="3"/>
      <c r="S659" s="3"/>
      <c r="T659" t="s">
        <v>36</v>
      </c>
      <c r="V659" s="3"/>
      <c r="W659" s="3"/>
      <c r="X659" s="3"/>
      <c r="Y659" s="3"/>
      <c r="Z659" s="3"/>
      <c r="AA659" s="3"/>
      <c r="AB659" s="3"/>
    </row>
    <row r="660" spans="1:28" x14ac:dyDescent="0.3">
      <c r="A660" s="2" t="str">
        <f>HYPERLINK("https://www.cadth.ca/delta-9-tetrahydrocannabinolcannabidiol-0", "Sativex")</f>
        <v>Sativex</v>
      </c>
      <c r="B660" t="s">
        <v>2101</v>
      </c>
      <c r="C660" t="s">
        <v>2102</v>
      </c>
      <c r="D660" t="s">
        <v>39</v>
      </c>
      <c r="E660" t="s">
        <v>40</v>
      </c>
      <c r="F660" s="3">
        <v>39301</v>
      </c>
      <c r="G660" s="3">
        <v>39498</v>
      </c>
      <c r="H660" t="s">
        <v>2103</v>
      </c>
      <c r="I660" t="s">
        <v>33</v>
      </c>
      <c r="N660" s="3"/>
      <c r="O660" t="s">
        <v>2104</v>
      </c>
      <c r="Q660" s="3"/>
      <c r="R660" s="3"/>
      <c r="S660" s="3"/>
      <c r="T660" t="s">
        <v>142</v>
      </c>
      <c r="V660" s="3"/>
      <c r="W660" s="3"/>
      <c r="X660" s="3"/>
      <c r="Y660" s="3"/>
      <c r="Z660" s="3"/>
      <c r="AA660" s="3"/>
      <c r="AB660" s="3"/>
    </row>
    <row r="661" spans="1:28" x14ac:dyDescent="0.3">
      <c r="A661" s="2" t="str">
        <f>HYPERLINK("https://www.cadth.ca/delta-9-tetrahydrocannabinolcannabidiol", "Sativex")</f>
        <v>Sativex</v>
      </c>
      <c r="B661" t="s">
        <v>2101</v>
      </c>
      <c r="C661" t="s">
        <v>2105</v>
      </c>
      <c r="D661" t="s">
        <v>39</v>
      </c>
      <c r="E661" t="s">
        <v>40</v>
      </c>
      <c r="F661" s="3">
        <v>39140</v>
      </c>
      <c r="G661" s="3">
        <v>39351</v>
      </c>
      <c r="H661" t="s">
        <v>2106</v>
      </c>
      <c r="I661" t="s">
        <v>33</v>
      </c>
      <c r="N661" s="3"/>
      <c r="O661" t="s">
        <v>2104</v>
      </c>
      <c r="Q661" s="3"/>
      <c r="R661" s="3"/>
      <c r="S661" s="3"/>
      <c r="T661" t="s">
        <v>36</v>
      </c>
      <c r="V661" s="3"/>
      <c r="W661" s="3"/>
      <c r="X661" s="3"/>
      <c r="Y661" s="3"/>
      <c r="Z661" s="3"/>
      <c r="AA661" s="3"/>
      <c r="AB661" s="3"/>
    </row>
    <row r="662" spans="1:28" x14ac:dyDescent="0.3">
      <c r="A662" s="2" t="str">
        <f>HYPERLINK("https://www.cadth.ca/liraglutide-1", "Saxenda")</f>
        <v>Saxenda</v>
      </c>
      <c r="B662" t="s">
        <v>2107</v>
      </c>
      <c r="C662" t="s">
        <v>591</v>
      </c>
      <c r="D662" t="s">
        <v>127</v>
      </c>
      <c r="E662" t="s">
        <v>31</v>
      </c>
      <c r="F662" s="3">
        <v>44188</v>
      </c>
      <c r="G662" s="3"/>
      <c r="H662" t="s">
        <v>2108</v>
      </c>
      <c r="I662" t="s">
        <v>33</v>
      </c>
      <c r="N662" s="3"/>
      <c r="O662" t="s">
        <v>1433</v>
      </c>
      <c r="Q662" s="3"/>
      <c r="R662" s="3"/>
      <c r="S662" s="3"/>
      <c r="T662" t="s">
        <v>36</v>
      </c>
      <c r="V662" s="3"/>
      <c r="W662" s="3"/>
      <c r="X662" s="3"/>
      <c r="Y662" s="3"/>
      <c r="Z662" s="3"/>
      <c r="AA662" s="3"/>
      <c r="AB662" s="3"/>
    </row>
    <row r="663" spans="1:28" x14ac:dyDescent="0.3">
      <c r="A663" s="2" t="str">
        <f>HYPERLINK("https://www.cadth.ca/telbivudine", "Sebivo")</f>
        <v>Sebivo</v>
      </c>
      <c r="B663" t="s">
        <v>2109</v>
      </c>
      <c r="C663" t="s">
        <v>353</v>
      </c>
      <c r="D663" t="s">
        <v>39</v>
      </c>
      <c r="E663" t="s">
        <v>40</v>
      </c>
      <c r="F663" s="3">
        <v>39055</v>
      </c>
      <c r="G663" s="3">
        <v>39351</v>
      </c>
      <c r="H663" t="s">
        <v>2110</v>
      </c>
      <c r="I663" t="s">
        <v>33</v>
      </c>
      <c r="N663" s="3"/>
      <c r="O663" t="s">
        <v>71</v>
      </c>
      <c r="Q663" s="3"/>
      <c r="R663" s="3"/>
      <c r="S663" s="3"/>
      <c r="T663" t="s">
        <v>36</v>
      </c>
      <c r="V663" s="3"/>
      <c r="W663" s="3"/>
      <c r="X663" s="3"/>
      <c r="Y663" s="3"/>
      <c r="Z663" s="3"/>
      <c r="AA663" s="3"/>
      <c r="AB663" s="3"/>
    </row>
    <row r="664" spans="1:28" x14ac:dyDescent="0.3">
      <c r="A664" s="2" t="str">
        <f>HYPERLINK("https://www.cadth.ca/glycopyrronium-bromide", "Seebri")</f>
        <v>Seebri</v>
      </c>
      <c r="B664" t="s">
        <v>2111</v>
      </c>
      <c r="C664" t="s">
        <v>257</v>
      </c>
      <c r="D664" t="s">
        <v>50</v>
      </c>
      <c r="E664" t="s">
        <v>40</v>
      </c>
      <c r="F664" s="3">
        <v>41243</v>
      </c>
      <c r="G664" s="3">
        <v>41409</v>
      </c>
      <c r="H664" t="s">
        <v>2112</v>
      </c>
      <c r="I664" t="s">
        <v>33</v>
      </c>
      <c r="N664" s="3"/>
      <c r="O664" t="s">
        <v>71</v>
      </c>
      <c r="Q664" s="3"/>
      <c r="R664" s="3"/>
      <c r="S664" s="3"/>
      <c r="T664" t="s">
        <v>36</v>
      </c>
      <c r="V664" s="3"/>
      <c r="W664" s="3"/>
      <c r="X664" s="3"/>
      <c r="Y664" s="3"/>
      <c r="Z664" s="3"/>
      <c r="AA664" s="3"/>
      <c r="AB664" s="3"/>
    </row>
    <row r="665" spans="1:28" x14ac:dyDescent="0.3">
      <c r="A665" s="2" t="str">
        <f>HYPERLINK("https://www.cadth.ca/ertugliflozin-and-metformin", "Segluromet")</f>
        <v>Segluromet</v>
      </c>
      <c r="B665" t="s">
        <v>2113</v>
      </c>
      <c r="C665" t="s">
        <v>150</v>
      </c>
      <c r="D665" t="s">
        <v>127</v>
      </c>
      <c r="E665" t="s">
        <v>40</v>
      </c>
      <c r="F665" s="3">
        <v>43220</v>
      </c>
      <c r="G665" s="3">
        <v>43488</v>
      </c>
      <c r="H665" t="s">
        <v>2114</v>
      </c>
      <c r="I665" t="s">
        <v>33</v>
      </c>
      <c r="N665" s="3"/>
      <c r="O665" t="s">
        <v>289</v>
      </c>
      <c r="Q665" s="3"/>
      <c r="R665" s="3"/>
      <c r="S665" s="3"/>
      <c r="T665" t="s">
        <v>36</v>
      </c>
      <c r="V665" s="3"/>
      <c r="W665" s="3"/>
      <c r="X665" s="3"/>
      <c r="Y665" s="3"/>
      <c r="Z665" s="3"/>
      <c r="AA665" s="3"/>
      <c r="AB665" s="3"/>
    </row>
    <row r="666" spans="1:28" x14ac:dyDescent="0.3">
      <c r="A666" s="2" t="str">
        <f>HYPERLINK("https://www.cadth.ca/insulin-glargine-0", "Semglee")</f>
        <v>Semglee</v>
      </c>
      <c r="B666" t="s">
        <v>2115</v>
      </c>
      <c r="C666" t="s">
        <v>1388</v>
      </c>
      <c r="E666" t="s">
        <v>113</v>
      </c>
      <c r="F666" s="3">
        <v>43418</v>
      </c>
      <c r="G666" s="3"/>
      <c r="H666" t="s">
        <v>2116</v>
      </c>
      <c r="I666" t="s">
        <v>33</v>
      </c>
      <c r="N666" s="3"/>
      <c r="O666" t="s">
        <v>951</v>
      </c>
      <c r="Q666" s="3"/>
      <c r="R666" s="3"/>
      <c r="S666" s="3"/>
      <c r="T666" t="s">
        <v>36</v>
      </c>
      <c r="V666" s="3"/>
      <c r="W666" s="3"/>
      <c r="X666" s="3"/>
      <c r="Y666" s="3"/>
      <c r="Z666" s="3"/>
      <c r="AA666" s="3"/>
      <c r="AB666" s="3"/>
    </row>
    <row r="667" spans="1:28" x14ac:dyDescent="0.3">
      <c r="A667" s="2" t="str">
        <f>HYPERLINK("https://www.cadth.ca/cinacalcet-hydrochloride", "Sensipar")</f>
        <v>Sensipar</v>
      </c>
      <c r="B667" t="s">
        <v>2117</v>
      </c>
      <c r="C667" t="s">
        <v>2118</v>
      </c>
      <c r="D667" t="s">
        <v>39</v>
      </c>
      <c r="E667" t="s">
        <v>40</v>
      </c>
      <c r="F667" s="3">
        <v>38219</v>
      </c>
      <c r="G667" s="3">
        <v>38434</v>
      </c>
      <c r="H667" t="s">
        <v>2119</v>
      </c>
      <c r="I667" t="s">
        <v>33</v>
      </c>
      <c r="N667" s="3"/>
      <c r="O667" t="s">
        <v>407</v>
      </c>
      <c r="Q667" s="3"/>
      <c r="R667" s="3"/>
      <c r="S667" s="3"/>
      <c r="T667" t="s">
        <v>36</v>
      </c>
      <c r="V667" s="3"/>
      <c r="W667" s="3"/>
      <c r="X667" s="3"/>
      <c r="Y667" s="3"/>
      <c r="Z667" s="3"/>
      <c r="AA667" s="3"/>
      <c r="AB667" s="3"/>
    </row>
    <row r="668" spans="1:28" x14ac:dyDescent="0.3">
      <c r="A668" s="2" t="str">
        <f>HYPERLINK("https://www.cadth.ca/pasireotide-diaspartate", "Signifor")</f>
        <v>Signifor</v>
      </c>
      <c r="B668" t="s">
        <v>2120</v>
      </c>
      <c r="C668" t="s">
        <v>2121</v>
      </c>
      <c r="D668" t="s">
        <v>39</v>
      </c>
      <c r="E668" t="s">
        <v>40</v>
      </c>
      <c r="F668" s="3">
        <v>41697</v>
      </c>
      <c r="G668" s="3">
        <v>42059</v>
      </c>
      <c r="H668" t="s">
        <v>2122</v>
      </c>
      <c r="I668" t="s">
        <v>33</v>
      </c>
      <c r="N668" s="3"/>
      <c r="O668" t="s">
        <v>1092</v>
      </c>
      <c r="Q668" s="3"/>
      <c r="R668" s="3"/>
      <c r="S668" s="3"/>
      <c r="T668" t="s">
        <v>36</v>
      </c>
      <c r="V668" s="3"/>
      <c r="W668" s="3"/>
      <c r="X668" s="3"/>
      <c r="Y668" s="3"/>
      <c r="Z668" s="3"/>
      <c r="AA668" s="3"/>
      <c r="AB668" s="3"/>
    </row>
    <row r="669" spans="1:28" x14ac:dyDescent="0.3">
      <c r="A669" s="2" t="str">
        <f>HYPERLINK("https://www.cadth.ca/brodalumab", "Siliq")</f>
        <v>Siliq</v>
      </c>
      <c r="B669" t="s">
        <v>2123</v>
      </c>
      <c r="C669" t="s">
        <v>558</v>
      </c>
      <c r="D669" t="s">
        <v>55</v>
      </c>
      <c r="E669" t="s">
        <v>40</v>
      </c>
      <c r="F669" s="3">
        <v>43083</v>
      </c>
      <c r="G669" s="3">
        <v>43271</v>
      </c>
      <c r="H669" t="s">
        <v>2124</v>
      </c>
      <c r="I669" t="s">
        <v>33</v>
      </c>
      <c r="N669" s="3"/>
      <c r="O669" t="s">
        <v>1457</v>
      </c>
      <c r="Q669" s="3"/>
      <c r="R669" s="3"/>
      <c r="S669" s="3"/>
      <c r="T669" t="s">
        <v>36</v>
      </c>
      <c r="V669" s="3"/>
      <c r="W669" s="3"/>
      <c r="X669" s="3"/>
      <c r="Y669" s="3"/>
      <c r="Z669" s="3"/>
      <c r="AA669" s="3"/>
      <c r="AB669" s="3"/>
    </row>
    <row r="670" spans="1:28" x14ac:dyDescent="0.3">
      <c r="A670" s="2" t="str">
        <f>HYPERLINK("https://www.cadth.ca/calcitriol", "Silkis")</f>
        <v>Silkis</v>
      </c>
      <c r="B670" t="s">
        <v>2125</v>
      </c>
      <c r="C670" t="s">
        <v>2126</v>
      </c>
      <c r="D670" t="s">
        <v>39</v>
      </c>
      <c r="E670" t="s">
        <v>40</v>
      </c>
      <c r="F670" s="3">
        <v>40252</v>
      </c>
      <c r="G670" s="3">
        <v>40443</v>
      </c>
      <c r="H670" t="s">
        <v>2127</v>
      </c>
      <c r="I670" t="s">
        <v>33</v>
      </c>
      <c r="N670" s="3"/>
      <c r="O670" t="s">
        <v>267</v>
      </c>
      <c r="Q670" s="3"/>
      <c r="R670" s="3"/>
      <c r="S670" s="3"/>
      <c r="T670" t="s">
        <v>36</v>
      </c>
      <c r="V670" s="3"/>
      <c r="W670" s="3"/>
      <c r="X670" s="3"/>
      <c r="Y670" s="3"/>
      <c r="Z670" s="3"/>
      <c r="AA670" s="3"/>
      <c r="AB670" s="3"/>
    </row>
    <row r="671" spans="1:28" x14ac:dyDescent="0.3">
      <c r="A671" s="2" t="str">
        <f>HYPERLINK("https://www.cadth.ca/brinzolamide-brimonidine", "Simbrinza")</f>
        <v>Simbrinza</v>
      </c>
      <c r="B671" t="s">
        <v>2128</v>
      </c>
      <c r="C671" t="s">
        <v>336</v>
      </c>
      <c r="D671" t="s">
        <v>160</v>
      </c>
      <c r="E671" t="s">
        <v>40</v>
      </c>
      <c r="F671" s="3">
        <v>41946</v>
      </c>
      <c r="G671" s="3">
        <v>42172</v>
      </c>
      <c r="H671" t="s">
        <v>2129</v>
      </c>
      <c r="I671" t="s">
        <v>33</v>
      </c>
      <c r="N671" s="3"/>
      <c r="O671" t="s">
        <v>338</v>
      </c>
      <c r="Q671" s="3"/>
      <c r="R671" s="3"/>
      <c r="S671" s="3"/>
      <c r="T671" t="s">
        <v>36</v>
      </c>
      <c r="V671" s="3"/>
      <c r="W671" s="3"/>
      <c r="X671" s="3"/>
      <c r="Y671" s="3"/>
      <c r="Z671" s="3"/>
      <c r="AA671" s="3"/>
      <c r="AB671" s="3"/>
    </row>
    <row r="672" spans="1:28" x14ac:dyDescent="0.3">
      <c r="A672" s="2" t="str">
        <f>HYPERLINK("https://www.cadth.ca/golimumab-2", "Simponi")</f>
        <v>Simponi</v>
      </c>
      <c r="B672" t="s">
        <v>2130</v>
      </c>
      <c r="C672" t="s">
        <v>822</v>
      </c>
      <c r="D672" t="s">
        <v>228</v>
      </c>
      <c r="E672" t="s">
        <v>40</v>
      </c>
      <c r="F672" s="3">
        <v>41467</v>
      </c>
      <c r="G672" s="3">
        <v>41717</v>
      </c>
      <c r="H672" t="s">
        <v>2131</v>
      </c>
      <c r="I672" t="s">
        <v>33</v>
      </c>
      <c r="N672" s="3"/>
      <c r="O672" t="s">
        <v>665</v>
      </c>
      <c r="Q672" s="3"/>
      <c r="R672" s="3"/>
      <c r="S672" s="3"/>
      <c r="T672" t="s">
        <v>36</v>
      </c>
      <c r="V672" s="3"/>
      <c r="W672" s="3"/>
      <c r="X672" s="3"/>
      <c r="Y672" s="3"/>
      <c r="Z672" s="3"/>
      <c r="AA672" s="3"/>
      <c r="AB672" s="3"/>
    </row>
    <row r="673" spans="1:28" x14ac:dyDescent="0.3">
      <c r="A673" s="2" t="str">
        <f>HYPERLINK("https://www.cadth.ca/golimumab-0", "Simponi")</f>
        <v>Simponi</v>
      </c>
      <c r="B673" t="s">
        <v>2130</v>
      </c>
      <c r="C673" t="s">
        <v>555</v>
      </c>
      <c r="D673" t="s">
        <v>1703</v>
      </c>
      <c r="E673" t="s">
        <v>40</v>
      </c>
      <c r="F673" s="3">
        <v>40059</v>
      </c>
      <c r="G673" s="3">
        <v>40254</v>
      </c>
      <c r="H673" t="s">
        <v>2132</v>
      </c>
      <c r="I673" t="s">
        <v>33</v>
      </c>
      <c r="N673" s="3"/>
      <c r="O673" t="s">
        <v>1984</v>
      </c>
      <c r="Q673" s="3"/>
      <c r="R673" s="3"/>
      <c r="S673" s="3"/>
      <c r="T673" t="s">
        <v>36</v>
      </c>
      <c r="V673" s="3"/>
      <c r="W673" s="3"/>
      <c r="X673" s="3"/>
      <c r="Y673" s="3"/>
      <c r="Z673" s="3"/>
      <c r="AA673" s="3"/>
      <c r="AB673" s="3"/>
    </row>
    <row r="674" spans="1:28" x14ac:dyDescent="0.3">
      <c r="A674" s="2" t="str">
        <f>HYPERLINK("https://www.cadth.ca/golimumab", "Simponi")</f>
        <v>Simponi</v>
      </c>
      <c r="B674" t="s">
        <v>2130</v>
      </c>
      <c r="C674" t="s">
        <v>84</v>
      </c>
      <c r="D674" t="s">
        <v>1703</v>
      </c>
      <c r="E674" t="s">
        <v>40</v>
      </c>
      <c r="F674" s="3">
        <v>40059</v>
      </c>
      <c r="G674" s="3">
        <v>40254</v>
      </c>
      <c r="H674" t="s">
        <v>2133</v>
      </c>
      <c r="I674" t="s">
        <v>33</v>
      </c>
      <c r="N674" s="3"/>
      <c r="O674" t="s">
        <v>1984</v>
      </c>
      <c r="Q674" s="3"/>
      <c r="R674" s="3"/>
      <c r="S674" s="3"/>
      <c r="T674" t="s">
        <v>36</v>
      </c>
      <c r="V674" s="3"/>
      <c r="W674" s="3"/>
      <c r="X674" s="3"/>
      <c r="Y674" s="3"/>
      <c r="Z674" s="3"/>
      <c r="AA674" s="3"/>
      <c r="AB674" s="3"/>
    </row>
    <row r="675" spans="1:28" x14ac:dyDescent="0.3">
      <c r="A675" s="2" t="str">
        <f>HYPERLINK("https://www.cadth.ca/golimumab-1", "Simponi")</f>
        <v>Simponi</v>
      </c>
      <c r="B675" t="s">
        <v>2130</v>
      </c>
      <c r="C675" t="s">
        <v>551</v>
      </c>
      <c r="D675" t="s">
        <v>1703</v>
      </c>
      <c r="E675" t="s">
        <v>40</v>
      </c>
      <c r="F675" s="3">
        <v>40059</v>
      </c>
      <c r="G675" s="3">
        <v>40254</v>
      </c>
      <c r="H675" t="s">
        <v>2134</v>
      </c>
      <c r="I675" t="s">
        <v>33</v>
      </c>
      <c r="N675" s="3"/>
      <c r="O675" t="s">
        <v>1984</v>
      </c>
      <c r="Q675" s="3"/>
      <c r="R675" s="3"/>
      <c r="S675" s="3"/>
      <c r="T675" t="s">
        <v>36</v>
      </c>
      <c r="V675" s="3"/>
      <c r="W675" s="3"/>
      <c r="X675" s="3"/>
      <c r="Y675" s="3"/>
      <c r="Z675" s="3"/>
      <c r="AA675" s="3"/>
      <c r="AB675" s="3"/>
    </row>
    <row r="676" spans="1:28" x14ac:dyDescent="0.3">
      <c r="A676" s="2" t="str">
        <f>HYPERLINK("https://www.cadth.ca/golimumab-3", "Simponi I.V.")</f>
        <v>Simponi I.V.</v>
      </c>
      <c r="B676" t="s">
        <v>2130</v>
      </c>
      <c r="C676" t="s">
        <v>78</v>
      </c>
      <c r="D676" t="s">
        <v>50</v>
      </c>
      <c r="E676" t="s">
        <v>40</v>
      </c>
      <c r="F676" s="3">
        <v>41529</v>
      </c>
      <c r="G676" s="3">
        <v>41837</v>
      </c>
      <c r="H676" t="s">
        <v>2135</v>
      </c>
      <c r="I676" t="s">
        <v>33</v>
      </c>
      <c r="N676" s="3"/>
      <c r="O676" t="s">
        <v>665</v>
      </c>
      <c r="Q676" s="3"/>
      <c r="R676" s="3"/>
      <c r="S676" s="3"/>
      <c r="T676" t="s">
        <v>36</v>
      </c>
      <c r="V676" s="3"/>
      <c r="W676" s="3"/>
      <c r="X676" s="3"/>
      <c r="Y676" s="3"/>
      <c r="Z676" s="3"/>
      <c r="AA676" s="3"/>
      <c r="AB676" s="3"/>
    </row>
    <row r="677" spans="1:28" x14ac:dyDescent="0.3">
      <c r="A677" s="2" t="str">
        <f>HYPERLINK("https://www.cadth.ca/tedizolid-phosphate", "Sivextro")</f>
        <v>Sivextro</v>
      </c>
      <c r="B677" t="s">
        <v>2136</v>
      </c>
      <c r="C677" t="s">
        <v>2137</v>
      </c>
      <c r="E677" t="s">
        <v>113</v>
      </c>
      <c r="F677" s="3">
        <v>42020</v>
      </c>
      <c r="G677" s="3"/>
      <c r="H677" t="s">
        <v>2138</v>
      </c>
      <c r="I677" t="s">
        <v>33</v>
      </c>
      <c r="N677" s="3"/>
      <c r="O677" t="s">
        <v>2139</v>
      </c>
      <c r="Q677" s="3"/>
      <c r="R677" s="3"/>
      <c r="S677" s="3"/>
      <c r="T677" t="s">
        <v>36</v>
      </c>
      <c r="V677" s="3"/>
      <c r="W677" s="3"/>
      <c r="X677" s="3"/>
      <c r="Y677" s="3"/>
      <c r="Z677" s="3"/>
      <c r="AA677" s="3"/>
      <c r="AB677" s="3"/>
    </row>
    <row r="678" spans="1:28" x14ac:dyDescent="0.3">
      <c r="A678" s="2" t="str">
        <f>HYPERLINK("https://www.cadth.ca/risankizumab", "Skyrizi")</f>
        <v>Skyrizi</v>
      </c>
      <c r="B678" t="s">
        <v>2140</v>
      </c>
      <c r="C678" t="s">
        <v>558</v>
      </c>
      <c r="D678" t="s">
        <v>55</v>
      </c>
      <c r="E678" t="s">
        <v>40</v>
      </c>
      <c r="F678" s="3">
        <v>43395</v>
      </c>
      <c r="G678" s="3">
        <v>43613</v>
      </c>
      <c r="H678" t="s">
        <v>2141</v>
      </c>
      <c r="I678" t="s">
        <v>33</v>
      </c>
      <c r="N678" s="3"/>
      <c r="O678" t="s">
        <v>725</v>
      </c>
      <c r="Q678" s="3"/>
      <c r="R678" s="3"/>
      <c r="S678" s="3"/>
      <c r="T678" t="s">
        <v>36</v>
      </c>
      <c r="V678" s="3"/>
      <c r="W678" s="3"/>
      <c r="X678" s="3"/>
      <c r="Y678" s="3"/>
      <c r="Z678" s="3"/>
      <c r="AA678" s="3"/>
      <c r="AB678" s="3"/>
    </row>
    <row r="679" spans="1:28" x14ac:dyDescent="0.3">
      <c r="A679" s="2" t="str">
        <f>HYPERLINK("https://www.cadth.ca/lixisenatide-insulin-glargine", "Soliqua")</f>
        <v>Soliqua</v>
      </c>
      <c r="B679" t="s">
        <v>2142</v>
      </c>
      <c r="C679" t="s">
        <v>150</v>
      </c>
      <c r="D679" t="s">
        <v>55</v>
      </c>
      <c r="E679" t="s">
        <v>40</v>
      </c>
      <c r="F679" s="3">
        <v>43238</v>
      </c>
      <c r="G679" s="3">
        <v>43458</v>
      </c>
      <c r="H679" t="s">
        <v>2143</v>
      </c>
      <c r="I679" t="s">
        <v>33</v>
      </c>
      <c r="N679" s="3"/>
      <c r="O679" t="s">
        <v>156</v>
      </c>
      <c r="Q679" s="3"/>
      <c r="R679" s="3"/>
      <c r="S679" s="3"/>
      <c r="T679" t="s">
        <v>36</v>
      </c>
      <c r="V679" s="3"/>
      <c r="W679" s="3"/>
      <c r="X679" s="3"/>
      <c r="Y679" s="3"/>
      <c r="Z679" s="3"/>
      <c r="AA679" s="3"/>
      <c r="AB679" s="3"/>
    </row>
    <row r="680" spans="1:28" x14ac:dyDescent="0.3">
      <c r="A680" s="2" t="str">
        <f>HYPERLINK("https://www.cadth.ca/eculizumab", "Soliris")</f>
        <v>Soliris</v>
      </c>
      <c r="B680" t="s">
        <v>2144</v>
      </c>
      <c r="C680" t="s">
        <v>2145</v>
      </c>
      <c r="D680" t="s">
        <v>39</v>
      </c>
      <c r="E680" t="s">
        <v>40</v>
      </c>
      <c r="F680" s="3">
        <v>40074</v>
      </c>
      <c r="G680" s="3">
        <v>40227</v>
      </c>
      <c r="H680" t="s">
        <v>2146</v>
      </c>
      <c r="I680" t="s">
        <v>33</v>
      </c>
      <c r="N680" s="3"/>
      <c r="O680" t="s">
        <v>2147</v>
      </c>
      <c r="Q680" s="3"/>
      <c r="R680" s="3"/>
      <c r="S680" s="3"/>
      <c r="T680" t="s">
        <v>36</v>
      </c>
      <c r="V680" s="3"/>
      <c r="W680" s="3"/>
      <c r="X680" s="3"/>
      <c r="Y680" s="3"/>
      <c r="Z680" s="3"/>
      <c r="AA680" s="3"/>
      <c r="AB680" s="3"/>
    </row>
    <row r="681" spans="1:28" x14ac:dyDescent="0.3">
      <c r="A681" s="2" t="str">
        <f>HYPERLINK("https://www.cadth.ca/eculizumab-2", "Soliris")</f>
        <v>Soliris</v>
      </c>
      <c r="B681" t="s">
        <v>2148</v>
      </c>
      <c r="C681" t="s">
        <v>2149</v>
      </c>
      <c r="D681" t="s">
        <v>55</v>
      </c>
      <c r="E681" t="s">
        <v>40</v>
      </c>
      <c r="F681" s="3">
        <v>43922</v>
      </c>
      <c r="G681" s="3">
        <v>44123</v>
      </c>
      <c r="H681" t="s">
        <v>2150</v>
      </c>
      <c r="I681" t="s">
        <v>33</v>
      </c>
      <c r="N681" s="3"/>
      <c r="O681" t="s">
        <v>2151</v>
      </c>
      <c r="Q681" s="3"/>
      <c r="R681" s="3"/>
      <c r="S681" s="3"/>
      <c r="T681" t="s">
        <v>36</v>
      </c>
      <c r="V681" s="3"/>
      <c r="W681" s="3"/>
      <c r="X681" s="3"/>
      <c r="Y681" s="3"/>
      <c r="Z681" s="3"/>
      <c r="AA681" s="3"/>
      <c r="AB681" s="3"/>
    </row>
    <row r="682" spans="1:28" x14ac:dyDescent="0.3">
      <c r="A682" s="2" t="str">
        <f>HYPERLINK("https://www.cadth.ca/eculizumab-3", "Soliris")</f>
        <v>Soliris</v>
      </c>
      <c r="B682" t="s">
        <v>2148</v>
      </c>
      <c r="C682" t="s">
        <v>803</v>
      </c>
      <c r="D682" t="s">
        <v>55</v>
      </c>
      <c r="E682" t="s">
        <v>40</v>
      </c>
      <c r="F682" s="3">
        <v>43886</v>
      </c>
      <c r="G682" s="3">
        <v>44062</v>
      </c>
      <c r="H682" t="s">
        <v>2152</v>
      </c>
      <c r="I682" t="s">
        <v>33</v>
      </c>
      <c r="N682" s="3"/>
      <c r="O682" t="s">
        <v>2151</v>
      </c>
      <c r="Q682" s="3"/>
      <c r="R682" s="3"/>
      <c r="S682" s="3"/>
      <c r="T682" t="s">
        <v>36</v>
      </c>
      <c r="V682" s="3"/>
      <c r="W682" s="3"/>
      <c r="X682" s="3"/>
      <c r="Y682" s="3"/>
      <c r="Z682" s="3"/>
      <c r="AA682" s="3"/>
      <c r="AB682" s="3"/>
    </row>
    <row r="683" spans="1:28" x14ac:dyDescent="0.3">
      <c r="A683" s="2" t="str">
        <f>HYPERLINK("https://www.cadth.ca/eculizumab-0", "Soliris")</f>
        <v>Soliris</v>
      </c>
      <c r="B683" t="s">
        <v>2144</v>
      </c>
      <c r="C683" t="s">
        <v>2153</v>
      </c>
      <c r="D683" t="s">
        <v>39</v>
      </c>
      <c r="E683" t="s">
        <v>40</v>
      </c>
      <c r="F683" s="3">
        <v>41281</v>
      </c>
      <c r="G683" s="3">
        <v>41473</v>
      </c>
      <c r="H683" t="s">
        <v>2154</v>
      </c>
      <c r="I683" t="s">
        <v>33</v>
      </c>
      <c r="N683" s="3"/>
      <c r="O683" t="s">
        <v>2155</v>
      </c>
      <c r="Q683" s="3"/>
      <c r="R683" s="3"/>
      <c r="S683" s="3"/>
      <c r="T683" t="s">
        <v>36</v>
      </c>
      <c r="V683" s="3"/>
      <c r="W683" s="3"/>
      <c r="X683" s="3"/>
      <c r="Y683" s="3"/>
      <c r="Z683" s="3"/>
      <c r="AA683" s="3"/>
      <c r="AB683" s="3"/>
    </row>
    <row r="684" spans="1:28" x14ac:dyDescent="0.3">
      <c r="A684" s="2" t="str">
        <f>HYPERLINK("https://www.cadth.ca/eculizumab-1", "Soliris")</f>
        <v>Soliris</v>
      </c>
      <c r="B684" t="s">
        <v>2144</v>
      </c>
      <c r="C684" t="s">
        <v>2156</v>
      </c>
      <c r="E684" t="s">
        <v>40</v>
      </c>
      <c r="F684" s="3">
        <v>42044</v>
      </c>
      <c r="G684" s="3"/>
      <c r="H684" t="s">
        <v>2157</v>
      </c>
      <c r="I684" t="s">
        <v>33</v>
      </c>
      <c r="N684" s="3"/>
      <c r="O684" t="s">
        <v>2155</v>
      </c>
      <c r="Q684" s="3"/>
      <c r="R684" s="3"/>
      <c r="S684" s="3"/>
      <c r="T684" t="s">
        <v>49</v>
      </c>
      <c r="V684" s="3"/>
      <c r="W684" s="3"/>
      <c r="X684" s="3"/>
      <c r="Y684" s="3"/>
      <c r="Z684" s="3"/>
      <c r="AA684" s="3"/>
      <c r="AB684" s="3"/>
    </row>
    <row r="685" spans="1:28" x14ac:dyDescent="0.3">
      <c r="A685" s="2" t="str">
        <f>HYPERLINK("https://www.cadth.ca/lanreotide-acetate", "Somatuline Autogel")</f>
        <v>Somatuline Autogel</v>
      </c>
      <c r="B685" t="s">
        <v>2158</v>
      </c>
      <c r="C685" t="s">
        <v>2159</v>
      </c>
      <c r="D685" t="s">
        <v>262</v>
      </c>
      <c r="E685" t="s">
        <v>40</v>
      </c>
      <c r="F685" s="3">
        <v>39133</v>
      </c>
      <c r="G685" s="3">
        <v>39282</v>
      </c>
      <c r="H685" t="s">
        <v>2160</v>
      </c>
      <c r="I685" t="s">
        <v>33</v>
      </c>
      <c r="N685" s="3"/>
      <c r="O685" t="s">
        <v>2161</v>
      </c>
      <c r="Q685" s="3"/>
      <c r="R685" s="3"/>
      <c r="S685" s="3"/>
      <c r="T685" t="s">
        <v>36</v>
      </c>
      <c r="V685" s="3"/>
      <c r="W685" s="3"/>
      <c r="X685" s="3"/>
      <c r="Y685" s="3"/>
      <c r="Z685" s="3"/>
      <c r="AA685" s="3"/>
      <c r="AB685" s="3"/>
    </row>
    <row r="686" spans="1:28" x14ac:dyDescent="0.3">
      <c r="A686" s="2" t="str">
        <f>HYPERLINK("https://www.cadth.ca/pegvisomant", "Somavert")</f>
        <v>Somavert</v>
      </c>
      <c r="B686" t="s">
        <v>2162</v>
      </c>
      <c r="C686" t="s">
        <v>2163</v>
      </c>
      <c r="D686" t="s">
        <v>39</v>
      </c>
      <c r="E686" t="s">
        <v>40</v>
      </c>
      <c r="F686" s="3">
        <v>38742</v>
      </c>
      <c r="G686" s="3">
        <v>38931</v>
      </c>
      <c r="H686" t="s">
        <v>2164</v>
      </c>
      <c r="I686" t="s">
        <v>33</v>
      </c>
      <c r="N686" s="3"/>
      <c r="O686" t="s">
        <v>387</v>
      </c>
      <c r="Q686" s="3"/>
      <c r="R686" s="3"/>
      <c r="S686" s="3"/>
      <c r="T686" t="s">
        <v>36</v>
      </c>
      <c r="V686" s="3"/>
      <c r="W686" s="3"/>
      <c r="X686" s="3"/>
      <c r="Y686" s="3"/>
      <c r="Z686" s="3"/>
      <c r="AA686" s="3"/>
      <c r="AB686" s="3"/>
    </row>
    <row r="687" spans="1:28" x14ac:dyDescent="0.3">
      <c r="A687" s="2" t="str">
        <f>HYPERLINK("https://www.cadth.ca/sofosbuvir", "Sovaldi")</f>
        <v>Sovaldi</v>
      </c>
      <c r="B687" t="s">
        <v>2165</v>
      </c>
      <c r="C687" t="s">
        <v>825</v>
      </c>
      <c r="D687" t="s">
        <v>50</v>
      </c>
      <c r="E687" t="s">
        <v>40</v>
      </c>
      <c r="F687" s="3">
        <v>41548</v>
      </c>
      <c r="G687" s="3">
        <v>41869</v>
      </c>
      <c r="H687" t="s">
        <v>2166</v>
      </c>
      <c r="I687" t="s">
        <v>33</v>
      </c>
      <c r="N687" s="3"/>
      <c r="O687" t="s">
        <v>539</v>
      </c>
      <c r="Q687" s="3"/>
      <c r="R687" s="3"/>
      <c r="S687" s="3"/>
      <c r="T687" t="s">
        <v>36</v>
      </c>
      <c r="V687" s="3"/>
      <c r="W687" s="3"/>
      <c r="X687" s="3"/>
      <c r="Y687" s="3"/>
      <c r="Z687" s="3"/>
      <c r="AA687" s="3"/>
      <c r="AB687" s="3"/>
    </row>
    <row r="688" spans="1:28" x14ac:dyDescent="0.3">
      <c r="A688" s="2" t="str">
        <f>HYPERLINK("https://www.cadth.ca/sofosbuvir-0", "Sovaldi")</f>
        <v>Sovaldi</v>
      </c>
      <c r="B688" t="s">
        <v>2167</v>
      </c>
      <c r="C688" t="s">
        <v>825</v>
      </c>
      <c r="D688" t="s">
        <v>55</v>
      </c>
      <c r="E688" t="s">
        <v>40</v>
      </c>
      <c r="F688" s="3">
        <v>42375</v>
      </c>
      <c r="G688" s="3">
        <v>42508</v>
      </c>
      <c r="H688" t="s">
        <v>2168</v>
      </c>
      <c r="I688" t="s">
        <v>33</v>
      </c>
      <c r="N688" s="3"/>
      <c r="O688" t="s">
        <v>539</v>
      </c>
      <c r="Q688" s="3"/>
      <c r="R688" s="3"/>
      <c r="S688" s="3"/>
      <c r="T688" t="s">
        <v>49</v>
      </c>
      <c r="V688" s="3"/>
      <c r="W688" s="3"/>
      <c r="X688" s="3"/>
      <c r="Y688" s="3"/>
      <c r="Z688" s="3"/>
      <c r="AA688" s="3"/>
      <c r="AB688" s="3"/>
    </row>
    <row r="689" spans="1:29" x14ac:dyDescent="0.3">
      <c r="A689" s="2" t="str">
        <f>HYPERLINK("https://www.cadth.ca/nusinersen", "Spinraza")</f>
        <v>Spinraza</v>
      </c>
      <c r="B689" t="s">
        <v>2169</v>
      </c>
      <c r="C689" t="s">
        <v>2170</v>
      </c>
      <c r="D689" t="s">
        <v>55</v>
      </c>
      <c r="E689" t="s">
        <v>40</v>
      </c>
      <c r="F689" s="3">
        <v>42914</v>
      </c>
      <c r="G689" s="3">
        <v>43091</v>
      </c>
      <c r="H689" t="s">
        <v>2171</v>
      </c>
      <c r="I689" t="s">
        <v>33</v>
      </c>
      <c r="N689" s="3"/>
      <c r="O689" t="s">
        <v>1874</v>
      </c>
      <c r="Q689" s="3"/>
      <c r="R689" s="3"/>
      <c r="S689" s="3"/>
      <c r="T689" t="s">
        <v>36</v>
      </c>
      <c r="V689" s="3"/>
      <c r="W689" s="3"/>
      <c r="X689" s="3"/>
      <c r="Y689" s="3"/>
      <c r="Z689" s="3"/>
      <c r="AA689" s="3"/>
      <c r="AB689" s="3"/>
    </row>
    <row r="690" spans="1:29" x14ac:dyDescent="0.3">
      <c r="A690" s="2" t="str">
        <f>HYPERLINK("https://www.cadth.ca/nusinersen-0", "Spinraza")</f>
        <v>Spinraza</v>
      </c>
      <c r="B690" t="s">
        <v>2172</v>
      </c>
      <c r="C690" t="s">
        <v>2170</v>
      </c>
      <c r="D690" t="s">
        <v>55</v>
      </c>
      <c r="E690" t="s">
        <v>40</v>
      </c>
      <c r="F690" s="3">
        <v>43305</v>
      </c>
      <c r="G690" s="3">
        <v>43523</v>
      </c>
      <c r="H690" t="s">
        <v>2173</v>
      </c>
      <c r="I690" t="s">
        <v>33</v>
      </c>
      <c r="N690" s="3"/>
      <c r="O690" t="s">
        <v>1874</v>
      </c>
      <c r="Q690" s="3"/>
      <c r="R690" s="3"/>
      <c r="S690" s="3"/>
      <c r="T690" t="s">
        <v>142</v>
      </c>
      <c r="V690" s="3"/>
      <c r="W690" s="3"/>
      <c r="X690" s="3"/>
      <c r="Y690" s="3"/>
      <c r="Z690" s="3"/>
      <c r="AA690" s="3"/>
      <c r="AB690" s="3"/>
    </row>
    <row r="691" spans="1:29" x14ac:dyDescent="0.3">
      <c r="A691" s="2" t="str">
        <f>HYPERLINK("https://www.cadth.ca/tiotropium-bromide", "Spiriva Respimat")</f>
        <v>Spiriva Respimat</v>
      </c>
      <c r="B691" t="s">
        <v>2174</v>
      </c>
      <c r="C691" t="s">
        <v>257</v>
      </c>
      <c r="D691" t="s">
        <v>46</v>
      </c>
      <c r="E691" t="s">
        <v>40</v>
      </c>
      <c r="F691" s="3">
        <v>41996</v>
      </c>
      <c r="G691" s="3">
        <v>42201</v>
      </c>
      <c r="H691" t="s">
        <v>2175</v>
      </c>
      <c r="I691" t="s">
        <v>33</v>
      </c>
      <c r="N691" s="3"/>
      <c r="O691" t="s">
        <v>1169</v>
      </c>
      <c r="Q691" s="3"/>
      <c r="R691" s="3"/>
      <c r="S691" s="3"/>
      <c r="T691" t="s">
        <v>36</v>
      </c>
      <c r="V691" s="3"/>
      <c r="W691" s="3"/>
      <c r="X691" s="3"/>
      <c r="Y691" s="3"/>
      <c r="Z691" s="3"/>
      <c r="AA691" s="3"/>
      <c r="AB691" s="3"/>
    </row>
    <row r="692" spans="1:29" x14ac:dyDescent="0.3">
      <c r="A692" s="2" t="str">
        <f>HYPERLINK("https://www.cadth.ca/esketamine-hydrochloride", "Spravato")</f>
        <v>Spravato</v>
      </c>
      <c r="B692" t="s">
        <v>2176</v>
      </c>
      <c r="C692" t="s">
        <v>2177</v>
      </c>
      <c r="D692" t="s">
        <v>127</v>
      </c>
      <c r="E692" t="s">
        <v>40</v>
      </c>
      <c r="F692" s="3">
        <v>43640</v>
      </c>
      <c r="G692" s="3">
        <v>44181</v>
      </c>
      <c r="H692" t="s">
        <v>2178</v>
      </c>
      <c r="I692" t="s">
        <v>33</v>
      </c>
      <c r="N692" s="3"/>
      <c r="O692" t="s">
        <v>665</v>
      </c>
      <c r="Q692" s="3"/>
      <c r="R692" s="3"/>
      <c r="S692" s="3"/>
      <c r="T692" t="s">
        <v>36</v>
      </c>
      <c r="V692" s="3"/>
      <c r="W692" s="3"/>
      <c r="X692" s="3"/>
      <c r="Y692" s="3"/>
      <c r="Z692" s="3"/>
      <c r="AA692" s="3"/>
      <c r="AB692" s="3"/>
    </row>
    <row r="693" spans="1:29" x14ac:dyDescent="0.3">
      <c r="A693" s="2" t="str">
        <f>HYPERLINK("https://www.cadth.ca/posaconazole", "Spriafil")</f>
        <v>Spriafil</v>
      </c>
      <c r="B693" t="s">
        <v>2179</v>
      </c>
      <c r="C693" t="s">
        <v>2180</v>
      </c>
      <c r="D693" t="s">
        <v>39</v>
      </c>
      <c r="E693" t="s">
        <v>40</v>
      </c>
      <c r="F693" s="3">
        <v>39226</v>
      </c>
      <c r="G693" s="3">
        <v>39477</v>
      </c>
      <c r="H693" t="s">
        <v>2181</v>
      </c>
      <c r="I693" t="s">
        <v>33</v>
      </c>
      <c r="N693" s="3"/>
      <c r="O693" t="s">
        <v>1691</v>
      </c>
      <c r="Q693" s="3"/>
      <c r="R693" s="3"/>
      <c r="S693" s="3"/>
      <c r="T693" t="s">
        <v>36</v>
      </c>
      <c r="V693" s="3"/>
      <c r="W693" s="3"/>
      <c r="X693" s="3"/>
      <c r="Y693" s="3"/>
      <c r="Z693" s="3"/>
      <c r="AA693" s="3"/>
      <c r="AB693" s="3"/>
    </row>
    <row r="694" spans="1:29" x14ac:dyDescent="0.3">
      <c r="A694" s="2" t="str">
        <f>HYPERLINK("https://www.cadth.ca/carbidopa-levodopa-and-entacapone", "Stalevo")</f>
        <v>Stalevo</v>
      </c>
      <c r="B694" t="s">
        <v>2182</v>
      </c>
      <c r="C694" t="s">
        <v>2183</v>
      </c>
      <c r="D694" t="s">
        <v>1703</v>
      </c>
      <c r="E694" t="s">
        <v>40</v>
      </c>
      <c r="F694" s="3">
        <v>39553</v>
      </c>
      <c r="G694" s="3">
        <v>39737</v>
      </c>
      <c r="H694" t="s">
        <v>2184</v>
      </c>
      <c r="I694" t="s">
        <v>33</v>
      </c>
      <c r="N694" s="3"/>
      <c r="O694" t="s">
        <v>71</v>
      </c>
      <c r="Q694" s="3"/>
      <c r="R694" s="3"/>
      <c r="S694" s="3"/>
      <c r="T694" t="s">
        <v>36</v>
      </c>
      <c r="V694" s="3"/>
      <c r="W694" s="3"/>
      <c r="X694" s="3"/>
      <c r="Y694" s="3"/>
      <c r="Z694" s="3"/>
      <c r="AA694" s="3"/>
      <c r="AB694" s="3"/>
    </row>
    <row r="695" spans="1:29" x14ac:dyDescent="0.3">
      <c r="A695" s="2" t="str">
        <f>HYPERLINK("https://www.cadth.ca/ertugliflozin", "Steglatro")</f>
        <v>Steglatro</v>
      </c>
      <c r="B695" t="s">
        <v>2185</v>
      </c>
      <c r="C695" t="s">
        <v>150</v>
      </c>
      <c r="D695" t="s">
        <v>127</v>
      </c>
      <c r="E695" t="s">
        <v>40</v>
      </c>
      <c r="F695" s="3">
        <v>43220</v>
      </c>
      <c r="G695" s="3">
        <v>43488</v>
      </c>
      <c r="H695" t="s">
        <v>2186</v>
      </c>
      <c r="I695" t="s">
        <v>33</v>
      </c>
      <c r="N695" s="3"/>
      <c r="O695" t="s">
        <v>289</v>
      </c>
      <c r="Q695" s="3"/>
      <c r="R695" s="3"/>
      <c r="S695" s="3"/>
      <c r="T695" t="s">
        <v>36</v>
      </c>
      <c r="V695" s="3"/>
      <c r="W695" s="3"/>
      <c r="X695" s="3"/>
      <c r="Y695" s="3"/>
      <c r="Z695" s="3"/>
      <c r="AA695" s="3"/>
      <c r="AB695" s="3"/>
    </row>
    <row r="696" spans="1:29" x14ac:dyDescent="0.3">
      <c r="A696" s="2" t="str">
        <f>HYPERLINK("https://www.cadth.ca/ustekinumab", "Stelara")</f>
        <v>Stelara</v>
      </c>
      <c r="B696" t="s">
        <v>2187</v>
      </c>
      <c r="C696" t="s">
        <v>1053</v>
      </c>
      <c r="D696" t="s">
        <v>46</v>
      </c>
      <c r="E696" t="s">
        <v>40</v>
      </c>
      <c r="F696" s="3">
        <v>39820</v>
      </c>
      <c r="G696" s="3">
        <v>39981</v>
      </c>
      <c r="H696" t="s">
        <v>2188</v>
      </c>
      <c r="I696" t="s">
        <v>33</v>
      </c>
      <c r="N696" s="3"/>
      <c r="O696" t="s">
        <v>334</v>
      </c>
      <c r="Q696" s="3"/>
      <c r="R696" s="3"/>
      <c r="S696" s="3"/>
      <c r="T696" t="s">
        <v>36</v>
      </c>
      <c r="V696" s="3"/>
      <c r="W696" s="3"/>
      <c r="X696" s="3"/>
      <c r="Y696" s="3"/>
      <c r="Z696" s="3"/>
      <c r="AA696" s="3"/>
      <c r="AB696" s="3"/>
    </row>
    <row r="697" spans="1:29" x14ac:dyDescent="0.3">
      <c r="A697" s="2" t="str">
        <f>HYPERLINK("https://www.cadth.ca/ustekinumab-0", "Stelara")</f>
        <v>Stelara</v>
      </c>
      <c r="B697" t="s">
        <v>2187</v>
      </c>
      <c r="C697" t="s">
        <v>555</v>
      </c>
      <c r="D697" t="s">
        <v>228</v>
      </c>
      <c r="E697" t="s">
        <v>40</v>
      </c>
      <c r="F697" s="3">
        <v>41577</v>
      </c>
      <c r="G697" s="3">
        <v>41932</v>
      </c>
      <c r="H697" t="s">
        <v>2189</v>
      </c>
      <c r="I697" t="s">
        <v>33</v>
      </c>
      <c r="N697" s="3"/>
      <c r="O697" t="s">
        <v>665</v>
      </c>
      <c r="Q697" s="3"/>
      <c r="R697" s="3"/>
      <c r="S697" s="3"/>
      <c r="T697" t="s">
        <v>36</v>
      </c>
      <c r="V697" s="3"/>
      <c r="W697" s="3"/>
      <c r="X697" s="3"/>
      <c r="Y697" s="3"/>
      <c r="Z697" s="3"/>
      <c r="AA697" s="3"/>
      <c r="AB697" s="3"/>
    </row>
    <row r="698" spans="1:29" x14ac:dyDescent="0.3">
      <c r="A698" s="2" t="str">
        <f>HYPERLINK("https://www.cadth.ca/ustekinumab-2", "Stelara/Stelara I.V")</f>
        <v>Stelara/Stelara I.V</v>
      </c>
      <c r="B698" t="s">
        <v>2190</v>
      </c>
      <c r="C698" t="s">
        <v>822</v>
      </c>
      <c r="D698" t="s">
        <v>55</v>
      </c>
      <c r="E698" t="s">
        <v>40</v>
      </c>
      <c r="F698" s="3">
        <v>43689</v>
      </c>
      <c r="G698" s="3">
        <v>44028</v>
      </c>
      <c r="H698" t="s">
        <v>2191</v>
      </c>
      <c r="I698" t="s">
        <v>33</v>
      </c>
      <c r="N698" s="3"/>
      <c r="O698" t="s">
        <v>665</v>
      </c>
      <c r="Q698" s="3"/>
      <c r="R698" s="3"/>
      <c r="S698" s="3"/>
      <c r="T698" t="s">
        <v>36</v>
      </c>
      <c r="V698" s="3"/>
      <c r="W698" s="3"/>
      <c r="X698" s="3"/>
      <c r="Y698" s="3"/>
      <c r="Z698" s="3"/>
      <c r="AA698" s="3"/>
      <c r="AB698" s="3"/>
    </row>
    <row r="699" spans="1:29" x14ac:dyDescent="0.3">
      <c r="A699" s="2" t="str">
        <f>HYPERLINK("https://www.cadth.ca/ustekinumab-1", "Stelara/Stelara I.V.")</f>
        <v>Stelara/Stelara I.V.</v>
      </c>
      <c r="B699" t="s">
        <v>2190</v>
      </c>
      <c r="C699" t="s">
        <v>820</v>
      </c>
      <c r="D699" t="s">
        <v>55</v>
      </c>
      <c r="E699" t="s">
        <v>40</v>
      </c>
      <c r="F699" s="3">
        <v>42625</v>
      </c>
      <c r="G699" s="3">
        <v>42815</v>
      </c>
      <c r="H699" t="s">
        <v>2192</v>
      </c>
      <c r="I699" t="s">
        <v>33</v>
      </c>
      <c r="N699" s="3"/>
      <c r="O699" t="s">
        <v>665</v>
      </c>
      <c r="Q699" s="3"/>
      <c r="R699" s="3"/>
      <c r="S699" s="3"/>
      <c r="T699" t="s">
        <v>36</v>
      </c>
      <c r="V699" s="3"/>
      <c r="W699" s="3"/>
      <c r="X699" s="3"/>
      <c r="Y699" s="3"/>
      <c r="Z699" s="3"/>
      <c r="AA699" s="3"/>
      <c r="AB699" s="3"/>
    </row>
    <row r="700" spans="1:29" x14ac:dyDescent="0.3">
      <c r="A700" s="2" t="str">
        <f>HYPERLINK("https://www.cadth.ca/node/105195", "Stivarga")</f>
        <v>Stivarga</v>
      </c>
      <c r="B700" t="s">
        <v>2193</v>
      </c>
      <c r="C700" t="s">
        <v>2194</v>
      </c>
      <c r="D700" t="s">
        <v>55</v>
      </c>
      <c r="E700" t="s">
        <v>40</v>
      </c>
      <c r="F700" s="3">
        <v>43020</v>
      </c>
      <c r="G700" s="3">
        <v>43208</v>
      </c>
      <c r="H700" t="s">
        <v>2195</v>
      </c>
      <c r="I700" t="s">
        <v>33</v>
      </c>
      <c r="J700" t="s">
        <v>1601</v>
      </c>
      <c r="K700" t="s">
        <v>58</v>
      </c>
      <c r="L700" t="s">
        <v>2196</v>
      </c>
      <c r="N700" s="3">
        <v>42996</v>
      </c>
      <c r="O700" t="s">
        <v>146</v>
      </c>
      <c r="P700" t="s">
        <v>146</v>
      </c>
      <c r="Q700" s="3"/>
      <c r="R700" s="3"/>
      <c r="S700" s="3">
        <v>43027</v>
      </c>
      <c r="U700" t="s">
        <v>99</v>
      </c>
      <c r="V700" s="3">
        <v>43034</v>
      </c>
      <c r="W700" s="3">
        <v>43074</v>
      </c>
      <c r="X700" s="3">
        <v>43174</v>
      </c>
      <c r="Y700" s="3">
        <v>43188</v>
      </c>
      <c r="Z700" s="3">
        <v>43203</v>
      </c>
      <c r="AA700" s="3"/>
      <c r="AB700" s="3">
        <v>43223</v>
      </c>
    </row>
    <row r="701" spans="1:29" x14ac:dyDescent="0.3">
      <c r="A701" s="2" t="str">
        <f>HYPERLINK("https://www.cadth.ca/node/79667", "Stivarga (CRC)")</f>
        <v>Stivarga (CRC)</v>
      </c>
      <c r="B701" t="s">
        <v>2193</v>
      </c>
      <c r="C701" t="s">
        <v>324</v>
      </c>
      <c r="D701" t="s">
        <v>127</v>
      </c>
      <c r="E701" t="s">
        <v>40</v>
      </c>
      <c r="F701" s="3">
        <v>41355</v>
      </c>
      <c r="G701" s="3">
        <v>41593</v>
      </c>
      <c r="H701" t="s">
        <v>2197</v>
      </c>
      <c r="I701" t="s">
        <v>33</v>
      </c>
      <c r="J701" t="s">
        <v>2198</v>
      </c>
      <c r="K701" t="s">
        <v>58</v>
      </c>
      <c r="L701" t="s">
        <v>2199</v>
      </c>
      <c r="N701" s="3">
        <v>41344</v>
      </c>
      <c r="O701" t="s">
        <v>146</v>
      </c>
      <c r="P701" t="s">
        <v>146</v>
      </c>
      <c r="Q701" s="3"/>
      <c r="R701" s="3"/>
      <c r="S701" s="3">
        <v>41372</v>
      </c>
      <c r="U701" t="s">
        <v>62</v>
      </c>
      <c r="V701" s="3">
        <v>41373</v>
      </c>
      <c r="W701" s="3">
        <v>41458</v>
      </c>
      <c r="X701" s="3">
        <v>41501</v>
      </c>
      <c r="Y701" s="3">
        <v>41515</v>
      </c>
      <c r="Z701" s="3">
        <v>41530</v>
      </c>
      <c r="AA701" s="3"/>
      <c r="AB701" s="3">
        <v>41610</v>
      </c>
    </row>
    <row r="702" spans="1:29" x14ac:dyDescent="0.3">
      <c r="A702" s="2" t="str">
        <f>HYPERLINK("https://www.cadth.ca/node/79668", "Stivarga (GIST)")</f>
        <v>Stivarga (GIST)</v>
      </c>
      <c r="B702" t="s">
        <v>2193</v>
      </c>
      <c r="C702" t="s">
        <v>2200</v>
      </c>
      <c r="D702" t="s">
        <v>55</v>
      </c>
      <c r="E702" t="s">
        <v>40</v>
      </c>
      <c r="F702" s="3">
        <v>41558</v>
      </c>
      <c r="G702" s="3">
        <v>41761</v>
      </c>
      <c r="H702" t="s">
        <v>2201</v>
      </c>
      <c r="I702" t="s">
        <v>33</v>
      </c>
      <c r="J702" t="s">
        <v>2202</v>
      </c>
      <c r="K702" t="s">
        <v>673</v>
      </c>
      <c r="L702" t="s">
        <v>2203</v>
      </c>
      <c r="N702" s="3">
        <v>41551</v>
      </c>
      <c r="O702" t="s">
        <v>146</v>
      </c>
      <c r="P702" t="s">
        <v>146</v>
      </c>
      <c r="Q702" s="3"/>
      <c r="R702" s="3"/>
      <c r="S702" s="3">
        <v>41576</v>
      </c>
      <c r="U702" t="s">
        <v>62</v>
      </c>
      <c r="V702" s="3">
        <v>41575</v>
      </c>
      <c r="W702" s="3">
        <v>41611</v>
      </c>
      <c r="X702" s="3">
        <v>41690</v>
      </c>
      <c r="Y702" s="3">
        <v>41704</v>
      </c>
      <c r="Z702" s="3">
        <v>41718</v>
      </c>
      <c r="AA702" s="3"/>
      <c r="AB702" s="3">
        <v>41779</v>
      </c>
    </row>
    <row r="703" spans="1:29" x14ac:dyDescent="0.3">
      <c r="A703" s="2" t="str">
        <f>HYPERLINK("https://www.cadth.ca/node/79669", "Stivarga Resubmission (CRC)")</f>
        <v>Stivarga Resubmission (CRC)</v>
      </c>
      <c r="B703" t="s">
        <v>2193</v>
      </c>
      <c r="C703" t="s">
        <v>324</v>
      </c>
      <c r="D703" t="s">
        <v>127</v>
      </c>
      <c r="E703" t="s">
        <v>40</v>
      </c>
      <c r="F703" s="3">
        <v>41992</v>
      </c>
      <c r="G703" s="3">
        <v>42201</v>
      </c>
      <c r="H703" t="s">
        <v>2204</v>
      </c>
      <c r="I703" t="s">
        <v>33</v>
      </c>
      <c r="J703" t="s">
        <v>2205</v>
      </c>
      <c r="K703" t="s">
        <v>58</v>
      </c>
      <c r="L703" t="s">
        <v>2206</v>
      </c>
      <c r="N703" s="3">
        <v>41344</v>
      </c>
      <c r="O703" t="s">
        <v>146</v>
      </c>
      <c r="P703" t="s">
        <v>146</v>
      </c>
      <c r="Q703" s="3"/>
      <c r="R703" s="3"/>
      <c r="S703" s="3">
        <v>42016</v>
      </c>
      <c r="U703" t="s">
        <v>62</v>
      </c>
      <c r="V703" s="3">
        <v>42016</v>
      </c>
      <c r="W703" s="3">
        <v>42065</v>
      </c>
      <c r="X703" s="3">
        <v>42111</v>
      </c>
      <c r="Y703" s="3">
        <v>42124</v>
      </c>
      <c r="Z703" s="3">
        <v>42138</v>
      </c>
      <c r="AA703" s="3"/>
      <c r="AB703" s="3">
        <v>42216</v>
      </c>
      <c r="AC703" t="s">
        <v>1853</v>
      </c>
    </row>
    <row r="704" spans="1:29" x14ac:dyDescent="0.3">
      <c r="A704" s="2" t="str">
        <f>HYPERLINK("https://www.cadth.ca/atomoxetine-hydrochloride", "Strattera")</f>
        <v>Strattera</v>
      </c>
      <c r="B704" t="s">
        <v>2207</v>
      </c>
      <c r="C704" t="s">
        <v>135</v>
      </c>
      <c r="D704" t="s">
        <v>39</v>
      </c>
      <c r="E704" t="s">
        <v>40</v>
      </c>
      <c r="F704" s="3">
        <v>38377</v>
      </c>
      <c r="G704" s="3">
        <v>38623</v>
      </c>
      <c r="H704" t="s">
        <v>2208</v>
      </c>
      <c r="I704" t="s">
        <v>33</v>
      </c>
      <c r="N704" s="3"/>
      <c r="O704" t="s">
        <v>133</v>
      </c>
      <c r="Q704" s="3"/>
      <c r="R704" s="3"/>
      <c r="S704" s="3"/>
      <c r="T704" t="s">
        <v>36</v>
      </c>
      <c r="V704" s="3"/>
      <c r="W704" s="3"/>
      <c r="X704" s="3"/>
      <c r="Y704" s="3"/>
      <c r="Z704" s="3"/>
      <c r="AA704" s="3"/>
      <c r="AB704" s="3"/>
    </row>
    <row r="705" spans="1:29" x14ac:dyDescent="0.3">
      <c r="A705" s="2" t="str">
        <f>HYPERLINK("https://www.cadth.ca/atomoxetine-hydrochloride-0", "Strattera")</f>
        <v>Strattera</v>
      </c>
      <c r="B705" t="s">
        <v>2207</v>
      </c>
      <c r="C705" t="s">
        <v>135</v>
      </c>
      <c r="E705" t="s">
        <v>40</v>
      </c>
      <c r="F705" s="3">
        <v>38985</v>
      </c>
      <c r="G705" s="3"/>
      <c r="H705" t="s">
        <v>2209</v>
      </c>
      <c r="I705" t="s">
        <v>33</v>
      </c>
      <c r="N705" s="3"/>
      <c r="O705" t="s">
        <v>133</v>
      </c>
      <c r="Q705" s="3"/>
      <c r="R705" s="3"/>
      <c r="S705" s="3"/>
      <c r="T705" t="s">
        <v>49</v>
      </c>
      <c r="V705" s="3"/>
      <c r="W705" s="3"/>
      <c r="X705" s="3"/>
      <c r="Y705" s="3"/>
      <c r="Z705" s="3"/>
      <c r="AA705" s="3"/>
      <c r="AB705" s="3"/>
    </row>
    <row r="706" spans="1:29" x14ac:dyDescent="0.3">
      <c r="A706" s="2" t="str">
        <f>HYPERLINK("https://www.cadth.ca/asfotase-alfa", "Strensiq")</f>
        <v>Strensiq</v>
      </c>
      <c r="B706" t="s">
        <v>2210</v>
      </c>
      <c r="C706" t="s">
        <v>2211</v>
      </c>
      <c r="D706" t="s">
        <v>50</v>
      </c>
      <c r="E706" t="s">
        <v>40</v>
      </c>
      <c r="F706" s="3">
        <v>42237</v>
      </c>
      <c r="G706" s="3">
        <v>42452</v>
      </c>
      <c r="H706" t="s">
        <v>2212</v>
      </c>
      <c r="I706" t="s">
        <v>33</v>
      </c>
      <c r="N706" s="3"/>
      <c r="O706" t="s">
        <v>2213</v>
      </c>
      <c r="Q706" s="3"/>
      <c r="R706" s="3"/>
      <c r="S706" s="3"/>
      <c r="T706" t="s">
        <v>36</v>
      </c>
      <c r="V706" s="3"/>
      <c r="W706" s="3"/>
      <c r="X706" s="3"/>
      <c r="Y706" s="3"/>
      <c r="Z706" s="3"/>
      <c r="AA706" s="3"/>
      <c r="AB706" s="3"/>
    </row>
    <row r="707" spans="1:29" x14ac:dyDescent="0.3">
      <c r="A707" s="2" t="str">
        <f>HYPERLINK("https://www.cadth.ca/elvitegravir-cobicistat-emtricitabine-tenofovir-disoproxil-fumarate", "Stribild")</f>
        <v>Stribild</v>
      </c>
      <c r="B707" t="s">
        <v>2214</v>
      </c>
      <c r="C707" t="s">
        <v>273</v>
      </c>
      <c r="D707" t="s">
        <v>50</v>
      </c>
      <c r="E707" t="s">
        <v>40</v>
      </c>
      <c r="F707" s="3">
        <v>41243</v>
      </c>
      <c r="G707" s="3">
        <v>41409</v>
      </c>
      <c r="H707" t="s">
        <v>2215</v>
      </c>
      <c r="I707" t="s">
        <v>33</v>
      </c>
      <c r="N707" s="3"/>
      <c r="O707" t="s">
        <v>539</v>
      </c>
      <c r="Q707" s="3"/>
      <c r="R707" s="3"/>
      <c r="S707" s="3"/>
      <c r="T707" t="s">
        <v>36</v>
      </c>
      <c r="V707" s="3"/>
      <c r="W707" s="3"/>
      <c r="X707" s="3"/>
      <c r="Y707" s="3"/>
      <c r="Z707" s="3"/>
      <c r="AA707" s="3"/>
      <c r="AB707" s="3"/>
    </row>
    <row r="708" spans="1:29" x14ac:dyDescent="0.3">
      <c r="A708" s="2" t="str">
        <f>HYPERLINK("https://www.cadth.ca/zolpidem-tartrate", "Sublinox")</f>
        <v>Sublinox</v>
      </c>
      <c r="B708" t="s">
        <v>2216</v>
      </c>
      <c r="C708" t="s">
        <v>2217</v>
      </c>
      <c r="D708" t="s">
        <v>39</v>
      </c>
      <c r="E708" t="s">
        <v>40</v>
      </c>
      <c r="F708" s="3">
        <v>41340</v>
      </c>
      <c r="G708" s="3">
        <v>41542</v>
      </c>
      <c r="H708" t="s">
        <v>2218</v>
      </c>
      <c r="I708" t="s">
        <v>33</v>
      </c>
      <c r="N708" s="3"/>
      <c r="O708" t="s">
        <v>1726</v>
      </c>
      <c r="Q708" s="3"/>
      <c r="R708" s="3"/>
      <c r="S708" s="3"/>
      <c r="T708" t="s">
        <v>36</v>
      </c>
      <c r="V708" s="3"/>
      <c r="W708" s="3"/>
      <c r="X708" s="3"/>
      <c r="Y708" s="3"/>
      <c r="Z708" s="3"/>
      <c r="AA708" s="3"/>
      <c r="AB708" s="3"/>
    </row>
    <row r="709" spans="1:29" x14ac:dyDescent="0.3">
      <c r="A709" s="2" t="str">
        <f>HYPERLINK("https://www.cadth.ca/buprenorphine", "Sublocade")</f>
        <v>Sublocade</v>
      </c>
      <c r="B709" t="s">
        <v>2219</v>
      </c>
      <c r="C709" t="s">
        <v>2220</v>
      </c>
      <c r="D709" t="s">
        <v>55</v>
      </c>
      <c r="E709" t="s">
        <v>40</v>
      </c>
      <c r="F709" s="3">
        <v>43454</v>
      </c>
      <c r="G709" s="3">
        <v>43635</v>
      </c>
      <c r="H709" t="s">
        <v>2221</v>
      </c>
      <c r="I709" t="s">
        <v>33</v>
      </c>
      <c r="N709" s="3"/>
      <c r="O709" t="s">
        <v>2222</v>
      </c>
      <c r="Q709" s="3"/>
      <c r="R709" s="3"/>
      <c r="S709" s="3"/>
      <c r="T709" t="s">
        <v>36</v>
      </c>
      <c r="V709" s="3"/>
      <c r="W709" s="3"/>
      <c r="X709" s="3"/>
      <c r="Y709" s="3"/>
      <c r="Z709" s="3"/>
      <c r="AA709" s="3"/>
      <c r="AB709" s="3"/>
    </row>
    <row r="710" spans="1:29" x14ac:dyDescent="0.3">
      <c r="A710" s="2" t="str">
        <f>HYPERLINK("https://www.cadth.ca/buprenorphinenaloxone", "Suboxone")</f>
        <v>Suboxone</v>
      </c>
      <c r="B710" t="s">
        <v>2223</v>
      </c>
      <c r="C710" t="s">
        <v>2224</v>
      </c>
      <c r="D710" t="s">
        <v>46</v>
      </c>
      <c r="E710" t="s">
        <v>40</v>
      </c>
      <c r="F710" s="3">
        <v>39513</v>
      </c>
      <c r="G710" s="3">
        <v>39715</v>
      </c>
      <c r="H710" t="s">
        <v>2225</v>
      </c>
      <c r="I710" t="s">
        <v>33</v>
      </c>
      <c r="N710" s="3"/>
      <c r="O710" t="s">
        <v>2226</v>
      </c>
      <c r="Q710" s="3"/>
      <c r="R710" s="3"/>
      <c r="S710" s="3"/>
      <c r="T710" t="s">
        <v>36</v>
      </c>
      <c r="V710" s="3"/>
      <c r="W710" s="3"/>
      <c r="X710" s="3"/>
      <c r="Y710" s="3"/>
      <c r="Z710" s="3"/>
      <c r="AA710" s="3"/>
      <c r="AB710" s="3"/>
    </row>
    <row r="711" spans="1:29" x14ac:dyDescent="0.3">
      <c r="A711" s="2" t="str">
        <f>HYPERLINK("https://www.cadth.ca/asunaprevir", "Sunvepra")</f>
        <v>Sunvepra</v>
      </c>
      <c r="B711" t="s">
        <v>2227</v>
      </c>
      <c r="C711" t="s">
        <v>825</v>
      </c>
      <c r="D711" t="s">
        <v>55</v>
      </c>
      <c r="E711" t="s">
        <v>40</v>
      </c>
      <c r="F711" s="3">
        <v>42048</v>
      </c>
      <c r="G711" s="3">
        <v>42571</v>
      </c>
      <c r="H711" t="s">
        <v>2228</v>
      </c>
      <c r="I711" t="s">
        <v>33</v>
      </c>
      <c r="N711" s="3"/>
      <c r="O711" t="s">
        <v>655</v>
      </c>
      <c r="Q711" s="3"/>
      <c r="R711" s="3"/>
      <c r="S711" s="3"/>
      <c r="T711" t="s">
        <v>36</v>
      </c>
      <c r="V711" s="3"/>
      <c r="W711" s="3"/>
      <c r="X711" s="3"/>
      <c r="Y711" s="3"/>
      <c r="Z711" s="3"/>
      <c r="AA711" s="3"/>
      <c r="AB711" s="3"/>
    </row>
    <row r="712" spans="1:29" x14ac:dyDescent="0.3">
      <c r="A712" s="2" t="str">
        <f>HYPERLINK("https://www.cadth.ca/sunitinib", "Sutent")</f>
        <v>Sutent</v>
      </c>
      <c r="B712" t="s">
        <v>2229</v>
      </c>
      <c r="C712" t="s">
        <v>2230</v>
      </c>
      <c r="D712" t="s">
        <v>46</v>
      </c>
      <c r="E712" t="s">
        <v>40</v>
      </c>
      <c r="F712" s="3">
        <v>38918</v>
      </c>
      <c r="G712" s="3">
        <v>39169</v>
      </c>
      <c r="H712" t="s">
        <v>2231</v>
      </c>
      <c r="I712" t="s">
        <v>33</v>
      </c>
      <c r="N712" s="3"/>
      <c r="O712" t="s">
        <v>387</v>
      </c>
      <c r="Q712" s="3"/>
      <c r="R712" s="3"/>
      <c r="S712" s="3"/>
      <c r="T712" t="s">
        <v>36</v>
      </c>
      <c r="V712" s="3"/>
      <c r="W712" s="3"/>
      <c r="X712" s="3"/>
      <c r="Y712" s="3"/>
      <c r="Z712" s="3"/>
      <c r="AA712" s="3"/>
      <c r="AB712" s="3"/>
    </row>
    <row r="713" spans="1:29" x14ac:dyDescent="0.3">
      <c r="A713" s="2" t="str">
        <f>HYPERLINK("https://www.cadth.ca/node/79670", "Sutent")</f>
        <v>Sutent</v>
      </c>
      <c r="B713" t="s">
        <v>2232</v>
      </c>
      <c r="C713" t="s">
        <v>168</v>
      </c>
      <c r="D713" t="s">
        <v>55</v>
      </c>
      <c r="E713" t="s">
        <v>40</v>
      </c>
      <c r="F713" s="3">
        <v>40854</v>
      </c>
      <c r="G713" s="3">
        <v>41032</v>
      </c>
      <c r="H713" t="s">
        <v>2233</v>
      </c>
      <c r="I713" t="s">
        <v>33</v>
      </c>
      <c r="J713" t="s">
        <v>2234</v>
      </c>
      <c r="K713" t="s">
        <v>58</v>
      </c>
      <c r="L713" t="s">
        <v>2235</v>
      </c>
      <c r="N713" s="3">
        <v>40724</v>
      </c>
      <c r="O713" t="s">
        <v>387</v>
      </c>
      <c r="P713" t="s">
        <v>387</v>
      </c>
      <c r="Q713" s="3"/>
      <c r="R713" s="3"/>
      <c r="S713" s="3">
        <v>40861</v>
      </c>
      <c r="U713" t="s">
        <v>62</v>
      </c>
      <c r="V713" s="3">
        <v>40869</v>
      </c>
      <c r="W713" s="3">
        <v>40917</v>
      </c>
      <c r="X713" s="3">
        <v>40955</v>
      </c>
      <c r="Y713" s="3">
        <v>40970</v>
      </c>
      <c r="Z713" s="3">
        <v>40984</v>
      </c>
      <c r="AA713" s="3"/>
      <c r="AB713" s="3">
        <v>41047</v>
      </c>
    </row>
    <row r="714" spans="1:29" x14ac:dyDescent="0.3">
      <c r="A714" s="2" t="str">
        <f>HYPERLINK("https://www.cadth.ca/sunitinib-malate", "Sutent")</f>
        <v>Sutent</v>
      </c>
      <c r="B714" t="s">
        <v>2232</v>
      </c>
      <c r="C714" t="s">
        <v>2236</v>
      </c>
      <c r="D714" t="s">
        <v>39</v>
      </c>
      <c r="E714" t="s">
        <v>40</v>
      </c>
      <c r="F714" s="3">
        <v>38980</v>
      </c>
      <c r="G714" s="3">
        <v>39198</v>
      </c>
      <c r="H714" t="s">
        <v>2237</v>
      </c>
      <c r="I714" t="s">
        <v>33</v>
      </c>
      <c r="N714" s="3"/>
      <c r="O714" t="s">
        <v>387</v>
      </c>
      <c r="Q714" s="3"/>
      <c r="R714" s="3"/>
      <c r="S714" s="3"/>
      <c r="T714" t="s">
        <v>142</v>
      </c>
      <c r="V714" s="3"/>
      <c r="W714" s="3"/>
      <c r="X714" s="3"/>
      <c r="Y714" s="3"/>
      <c r="Z714" s="3"/>
      <c r="AA714" s="3"/>
      <c r="AB714" s="3"/>
    </row>
    <row r="715" spans="1:29" x14ac:dyDescent="0.3">
      <c r="A715" s="2" t="str">
        <f>HYPERLINK("https://www.cadth.ca/node/79671", "Sylvant")</f>
        <v>Sylvant</v>
      </c>
      <c r="B715" t="s">
        <v>2238</v>
      </c>
      <c r="C715" t="s">
        <v>2239</v>
      </c>
      <c r="D715" t="s">
        <v>55</v>
      </c>
      <c r="E715" t="s">
        <v>40</v>
      </c>
      <c r="F715" s="3">
        <v>42034</v>
      </c>
      <c r="G715" s="3">
        <v>42177</v>
      </c>
      <c r="H715" t="s">
        <v>2240</v>
      </c>
      <c r="I715" t="s">
        <v>33</v>
      </c>
      <c r="J715" t="s">
        <v>2241</v>
      </c>
      <c r="K715" t="s">
        <v>96</v>
      </c>
      <c r="L715" t="s">
        <v>2242</v>
      </c>
      <c r="N715" s="3">
        <v>41976</v>
      </c>
      <c r="O715" t="s">
        <v>665</v>
      </c>
      <c r="P715" t="s">
        <v>665</v>
      </c>
      <c r="Q715" s="3"/>
      <c r="R715" s="3"/>
      <c r="S715" s="3">
        <v>42041</v>
      </c>
      <c r="U715" t="s">
        <v>62</v>
      </c>
      <c r="V715" s="3">
        <v>42048</v>
      </c>
      <c r="W715" s="3">
        <v>42086</v>
      </c>
      <c r="X715" s="3">
        <v>42145</v>
      </c>
      <c r="Y715" s="3">
        <v>42159</v>
      </c>
      <c r="Z715" s="3">
        <v>42173</v>
      </c>
      <c r="AA715" s="3"/>
      <c r="AB715" s="3">
        <v>42193</v>
      </c>
    </row>
    <row r="716" spans="1:29" x14ac:dyDescent="0.3">
      <c r="A716" s="2" t="str">
        <f>HYPERLINK("https://www.cadth.ca/tezacaftorivacaftor", "Symdeko")</f>
        <v>Symdeko</v>
      </c>
      <c r="B716" t="s">
        <v>2243</v>
      </c>
      <c r="D716" t="s">
        <v>577</v>
      </c>
      <c r="E716" t="s">
        <v>578</v>
      </c>
      <c r="F716" s="3"/>
      <c r="G716" s="3"/>
      <c r="H716" t="s">
        <v>391</v>
      </c>
      <c r="I716" t="s">
        <v>33</v>
      </c>
      <c r="N716" s="3"/>
      <c r="O716" t="s">
        <v>1135</v>
      </c>
      <c r="Q716" s="3"/>
      <c r="R716" s="3"/>
      <c r="S716" s="3"/>
      <c r="T716" t="s">
        <v>579</v>
      </c>
      <c r="V716" s="3"/>
      <c r="W716" s="3"/>
      <c r="X716" s="3"/>
      <c r="Y716" s="3"/>
      <c r="Z716" s="3"/>
      <c r="AA716" s="3"/>
      <c r="AB716" s="3"/>
    </row>
    <row r="717" spans="1:29" x14ac:dyDescent="0.3">
      <c r="A717" s="2" t="str">
        <f>HYPERLINK("https://www.cadth.ca/darunavircobicistatemtricitabinetenofovir-alafenamide", "Symtuza")</f>
        <v>Symtuza</v>
      </c>
      <c r="B717" t="s">
        <v>2244</v>
      </c>
      <c r="C717" t="s">
        <v>394</v>
      </c>
      <c r="D717" t="s">
        <v>55</v>
      </c>
      <c r="E717" t="s">
        <v>40</v>
      </c>
      <c r="F717" s="3">
        <v>43091</v>
      </c>
      <c r="G717" s="3">
        <v>43306</v>
      </c>
      <c r="H717" t="s">
        <v>2245</v>
      </c>
      <c r="I717" t="s">
        <v>33</v>
      </c>
      <c r="N717" s="3"/>
      <c r="O717" t="s">
        <v>665</v>
      </c>
      <c r="Q717" s="3"/>
      <c r="R717" s="3"/>
      <c r="S717" s="3"/>
      <c r="T717" t="s">
        <v>36</v>
      </c>
      <c r="V717" s="3"/>
      <c r="W717" s="3"/>
      <c r="X717" s="3"/>
      <c r="Y717" s="3"/>
      <c r="Z717" s="3"/>
      <c r="AA717" s="3"/>
      <c r="AB717" s="3"/>
    </row>
    <row r="718" spans="1:29" x14ac:dyDescent="0.3">
      <c r="A718" s="2" t="str">
        <f>HYPERLINK("https://www.cadth.ca/empagliflozin-and-metformin", "Synjardy")</f>
        <v>Synjardy</v>
      </c>
      <c r="B718" t="s">
        <v>2246</v>
      </c>
      <c r="C718" t="s">
        <v>1223</v>
      </c>
      <c r="D718" t="s">
        <v>55</v>
      </c>
      <c r="E718" t="s">
        <v>40</v>
      </c>
      <c r="F718" s="3">
        <v>42489</v>
      </c>
      <c r="G718" s="3">
        <v>42668</v>
      </c>
      <c r="H718" t="s">
        <v>2247</v>
      </c>
      <c r="I718" t="s">
        <v>33</v>
      </c>
      <c r="N718" s="3"/>
      <c r="O718" t="s">
        <v>1169</v>
      </c>
      <c r="Q718" s="3"/>
      <c r="R718" s="3"/>
      <c r="S718" s="3"/>
      <c r="T718" t="s">
        <v>36</v>
      </c>
      <c r="V718" s="3"/>
      <c r="W718" s="3"/>
      <c r="X718" s="3"/>
      <c r="Y718" s="3"/>
      <c r="Z718" s="3"/>
      <c r="AA718" s="3"/>
      <c r="AB718" s="3"/>
    </row>
    <row r="719" spans="1:29" x14ac:dyDescent="0.3">
      <c r="A719" s="2" t="str">
        <f>HYPERLINK("https://www.cadth.ca/node/79672", "Tafinlar")</f>
        <v>Tafinlar</v>
      </c>
      <c r="B719" t="s">
        <v>2248</v>
      </c>
      <c r="C719" t="s">
        <v>1313</v>
      </c>
      <c r="D719" t="s">
        <v>55</v>
      </c>
      <c r="E719" t="s">
        <v>40</v>
      </c>
      <c r="F719" s="3">
        <v>41351</v>
      </c>
      <c r="G719" s="3">
        <v>41613</v>
      </c>
      <c r="H719" t="s">
        <v>2249</v>
      </c>
      <c r="I719" t="s">
        <v>33</v>
      </c>
      <c r="J719" t="s">
        <v>2250</v>
      </c>
      <c r="K719" t="s">
        <v>616</v>
      </c>
      <c r="L719" t="s">
        <v>2251</v>
      </c>
      <c r="M719" t="s">
        <v>60</v>
      </c>
      <c r="N719" s="3">
        <v>41471</v>
      </c>
      <c r="O719" t="s">
        <v>455</v>
      </c>
      <c r="P719" t="s">
        <v>455</v>
      </c>
      <c r="Q719" s="3"/>
      <c r="R719" s="3"/>
      <c r="S719" s="3">
        <v>41361</v>
      </c>
      <c r="U719" t="s">
        <v>62</v>
      </c>
      <c r="V719" s="3">
        <v>41367</v>
      </c>
      <c r="W719" s="3">
        <v>41449</v>
      </c>
      <c r="X719" s="3">
        <v>41536</v>
      </c>
      <c r="Y719" s="3">
        <v>41550</v>
      </c>
      <c r="Z719" s="3">
        <v>41565</v>
      </c>
      <c r="AA719" s="3"/>
      <c r="AB719" s="3">
        <v>41628</v>
      </c>
      <c r="AC719" t="s">
        <v>63</v>
      </c>
    </row>
    <row r="720" spans="1:29" x14ac:dyDescent="0.3">
      <c r="A720" s="2" t="str">
        <f>HYPERLINK("https://www.cadth.ca/node/122468", "Tafinlar and Mekinist")</f>
        <v>Tafinlar and Mekinist</v>
      </c>
      <c r="B720" t="s">
        <v>2252</v>
      </c>
      <c r="C720" t="s">
        <v>2253</v>
      </c>
      <c r="E720" t="s">
        <v>40</v>
      </c>
      <c r="F720" s="3">
        <v>44105</v>
      </c>
      <c r="G720" s="3"/>
      <c r="H720" t="s">
        <v>2254</v>
      </c>
      <c r="I720" t="s">
        <v>33</v>
      </c>
      <c r="K720" t="s">
        <v>205</v>
      </c>
      <c r="L720" t="s">
        <v>2255</v>
      </c>
      <c r="N720" s="3">
        <v>43238</v>
      </c>
      <c r="O720" t="s">
        <v>71</v>
      </c>
      <c r="P720" t="s">
        <v>71</v>
      </c>
      <c r="Q720" s="3"/>
      <c r="R720" s="3"/>
      <c r="S720" s="3">
        <v>44120</v>
      </c>
      <c r="V720" s="3">
        <v>44120</v>
      </c>
      <c r="W720" s="3">
        <v>44207</v>
      </c>
      <c r="X720" s="3">
        <v>44273</v>
      </c>
      <c r="Y720" s="3">
        <v>44287</v>
      </c>
      <c r="Z720" s="3">
        <v>44302</v>
      </c>
      <c r="AA720" s="3"/>
      <c r="AB720" s="3">
        <v>44361</v>
      </c>
    </row>
    <row r="721" spans="1:29" x14ac:dyDescent="0.3">
      <c r="A721" s="2" t="str">
        <f>HYPERLINK("https://www.cadth.ca/node/110523", "Tafinlar &amp; Mekinist in combo")</f>
        <v>Tafinlar &amp; Mekinist in combo</v>
      </c>
      <c r="B721" t="s">
        <v>2256</v>
      </c>
      <c r="C721" t="s">
        <v>1743</v>
      </c>
      <c r="D721" t="s">
        <v>55</v>
      </c>
      <c r="E721" t="s">
        <v>40</v>
      </c>
      <c r="F721" s="3">
        <v>43364</v>
      </c>
      <c r="G721" s="3">
        <v>43588</v>
      </c>
      <c r="H721" t="s">
        <v>2257</v>
      </c>
      <c r="I721" t="s">
        <v>33</v>
      </c>
      <c r="J721" t="s">
        <v>2258</v>
      </c>
      <c r="K721" t="s">
        <v>362</v>
      </c>
      <c r="L721" t="s">
        <v>2259</v>
      </c>
      <c r="M721" t="s">
        <v>60</v>
      </c>
      <c r="N721" s="3">
        <v>43364</v>
      </c>
      <c r="O721" t="s">
        <v>71</v>
      </c>
      <c r="P721" t="s">
        <v>71</v>
      </c>
      <c r="Q721" s="3"/>
      <c r="R721" s="3"/>
      <c r="S721" s="3">
        <v>43378</v>
      </c>
      <c r="V721" s="3">
        <v>43378</v>
      </c>
      <c r="W721" s="3">
        <v>43418</v>
      </c>
      <c r="X721" s="3">
        <v>43517</v>
      </c>
      <c r="Y721" s="3">
        <v>43531</v>
      </c>
      <c r="Z721" s="3">
        <v>43545</v>
      </c>
      <c r="AA721" s="3"/>
      <c r="AB721" s="3">
        <v>43606</v>
      </c>
    </row>
    <row r="722" spans="1:29" x14ac:dyDescent="0.3">
      <c r="A722" s="2" t="str">
        <f>HYPERLINK("https://www.cadth.ca/node/101154", "Tafinlar &amp; Mekinist in combo")</f>
        <v>Tafinlar &amp; Mekinist in combo</v>
      </c>
      <c r="B722" t="s">
        <v>2256</v>
      </c>
      <c r="C722" t="s">
        <v>207</v>
      </c>
      <c r="D722" t="s">
        <v>127</v>
      </c>
      <c r="E722" t="s">
        <v>40</v>
      </c>
      <c r="F722" s="3">
        <v>42825</v>
      </c>
      <c r="G722" s="3">
        <v>43041</v>
      </c>
      <c r="H722" t="s">
        <v>2260</v>
      </c>
      <c r="I722" t="s">
        <v>33</v>
      </c>
      <c r="J722" t="s">
        <v>2261</v>
      </c>
      <c r="K722" t="s">
        <v>205</v>
      </c>
      <c r="L722" t="s">
        <v>2262</v>
      </c>
      <c r="M722" t="s">
        <v>60</v>
      </c>
      <c r="N722" s="3">
        <v>42871</v>
      </c>
      <c r="O722" t="s">
        <v>71</v>
      </c>
      <c r="P722" t="s">
        <v>71</v>
      </c>
      <c r="Q722" s="3"/>
      <c r="R722" s="3"/>
      <c r="S722" s="3">
        <v>42832</v>
      </c>
      <c r="U722" t="s">
        <v>62</v>
      </c>
      <c r="V722" s="3">
        <v>42842</v>
      </c>
      <c r="W722" s="3">
        <v>42899</v>
      </c>
      <c r="X722" s="3">
        <v>42964</v>
      </c>
      <c r="Y722" s="3">
        <v>42978</v>
      </c>
      <c r="Z722" s="3">
        <v>42993</v>
      </c>
      <c r="AA722" s="3"/>
      <c r="AB722" s="3">
        <v>43056</v>
      </c>
    </row>
    <row r="723" spans="1:29" x14ac:dyDescent="0.3">
      <c r="A723" s="2" t="str">
        <f>HYPERLINK("https://www.cadth.ca/node/79695", "Tafinlar &amp; Mekinist in combo")</f>
        <v>Tafinlar &amp; Mekinist in combo</v>
      </c>
      <c r="B723" t="s">
        <v>2256</v>
      </c>
      <c r="C723" t="s">
        <v>1313</v>
      </c>
      <c r="D723" t="s">
        <v>55</v>
      </c>
      <c r="E723" t="s">
        <v>40</v>
      </c>
      <c r="F723" s="3">
        <v>42048</v>
      </c>
      <c r="G723" s="3">
        <v>42206</v>
      </c>
      <c r="H723" t="s">
        <v>2263</v>
      </c>
      <c r="I723" t="s">
        <v>33</v>
      </c>
      <c r="J723" t="s">
        <v>2264</v>
      </c>
      <c r="K723" t="s">
        <v>616</v>
      </c>
      <c r="L723" t="s">
        <v>2265</v>
      </c>
      <c r="M723" t="s">
        <v>60</v>
      </c>
      <c r="N723" s="3">
        <v>42069</v>
      </c>
      <c r="O723" t="s">
        <v>259</v>
      </c>
      <c r="P723" t="s">
        <v>259</v>
      </c>
      <c r="Q723" s="3"/>
      <c r="R723" s="3"/>
      <c r="S723" s="3">
        <v>42058</v>
      </c>
      <c r="U723" t="s">
        <v>62</v>
      </c>
      <c r="V723" s="3">
        <v>42065</v>
      </c>
      <c r="W723" s="3">
        <v>42102</v>
      </c>
      <c r="X723" s="3">
        <v>42173</v>
      </c>
      <c r="Y723" s="3">
        <v>42188</v>
      </c>
      <c r="Z723" s="3">
        <v>42202</v>
      </c>
      <c r="AA723" s="3"/>
      <c r="AB723" s="3">
        <v>42222</v>
      </c>
    </row>
    <row r="724" spans="1:29" x14ac:dyDescent="0.3">
      <c r="A724" s="2" t="str">
        <f>HYPERLINK("https://www.cadth.ca/node/109024", "Tagrisso")</f>
        <v>Tagrisso</v>
      </c>
      <c r="B724" t="s">
        <v>2266</v>
      </c>
      <c r="C724" t="s">
        <v>2267</v>
      </c>
      <c r="D724" t="s">
        <v>55</v>
      </c>
      <c r="E724" t="s">
        <v>40</v>
      </c>
      <c r="F724" s="3">
        <v>43236</v>
      </c>
      <c r="G724" s="3">
        <v>43469</v>
      </c>
      <c r="H724" t="s">
        <v>2268</v>
      </c>
      <c r="I724" t="s">
        <v>33</v>
      </c>
      <c r="J724" t="s">
        <v>2269</v>
      </c>
      <c r="K724" t="s">
        <v>205</v>
      </c>
      <c r="L724" t="s">
        <v>2270</v>
      </c>
      <c r="M724" t="s">
        <v>60</v>
      </c>
      <c r="N724" s="3">
        <v>43291</v>
      </c>
      <c r="O724" t="s">
        <v>465</v>
      </c>
      <c r="P724" t="s">
        <v>465</v>
      </c>
      <c r="Q724" s="3"/>
      <c r="R724" s="3"/>
      <c r="S724" s="3">
        <v>43244</v>
      </c>
      <c r="U724" t="s">
        <v>214</v>
      </c>
      <c r="V724" s="3">
        <v>43251</v>
      </c>
      <c r="W724" s="3">
        <v>43299</v>
      </c>
      <c r="X724" s="3">
        <v>43391</v>
      </c>
      <c r="Y724" s="3">
        <v>43405</v>
      </c>
      <c r="Z724" s="3">
        <v>43419</v>
      </c>
      <c r="AA724" s="3"/>
      <c r="AB724" s="3">
        <v>43486</v>
      </c>
    </row>
    <row r="725" spans="1:29" x14ac:dyDescent="0.3">
      <c r="A725" s="2" t="str">
        <f>HYPERLINK("https://www.cadth.ca/node/93618", "Tagrisso")</f>
        <v>Tagrisso</v>
      </c>
      <c r="B725" t="s">
        <v>2266</v>
      </c>
      <c r="C725" t="s">
        <v>207</v>
      </c>
      <c r="D725" t="s">
        <v>55</v>
      </c>
      <c r="E725" t="s">
        <v>40</v>
      </c>
      <c r="F725" s="3">
        <v>42461</v>
      </c>
      <c r="G725" s="3">
        <v>42859</v>
      </c>
      <c r="H725" t="s">
        <v>2271</v>
      </c>
      <c r="I725" t="s">
        <v>33</v>
      </c>
      <c r="J725" t="s">
        <v>2272</v>
      </c>
      <c r="K725" t="s">
        <v>205</v>
      </c>
      <c r="L725" t="s">
        <v>2273</v>
      </c>
      <c r="M725" t="s">
        <v>60</v>
      </c>
      <c r="N725" s="3">
        <v>42556</v>
      </c>
      <c r="O725" t="s">
        <v>1512</v>
      </c>
      <c r="P725" t="s">
        <v>1512</v>
      </c>
      <c r="Q725" s="3"/>
      <c r="R725" s="3"/>
      <c r="S725" s="3">
        <v>42468</v>
      </c>
      <c r="U725" t="s">
        <v>214</v>
      </c>
      <c r="V725" s="3">
        <v>42475</v>
      </c>
      <c r="W725" s="3">
        <v>42514</v>
      </c>
      <c r="X725" s="3">
        <v>42782</v>
      </c>
      <c r="Y725" s="3">
        <v>42797</v>
      </c>
      <c r="Z725" s="3">
        <v>42811</v>
      </c>
      <c r="AA725" s="3"/>
      <c r="AB725" s="3">
        <v>42874</v>
      </c>
      <c r="AC725" t="s">
        <v>2274</v>
      </c>
    </row>
    <row r="726" spans="1:29" x14ac:dyDescent="0.3">
      <c r="A726" s="2" t="str">
        <f>HYPERLINK("https://www.cadth.ca/osimertinib", "Tagrisso")</f>
        <v>Tagrisso</v>
      </c>
      <c r="B726" t="s">
        <v>2275</v>
      </c>
      <c r="C726" t="s">
        <v>1438</v>
      </c>
      <c r="E726" t="s">
        <v>31</v>
      </c>
      <c r="F726" s="3">
        <v>44279</v>
      </c>
      <c r="G726" s="3"/>
      <c r="H726" t="s">
        <v>2276</v>
      </c>
      <c r="I726" t="s">
        <v>33</v>
      </c>
      <c r="K726" t="s">
        <v>205</v>
      </c>
      <c r="N726" s="3"/>
      <c r="O726" t="s">
        <v>465</v>
      </c>
      <c r="Q726" s="3"/>
      <c r="R726" s="3"/>
      <c r="S726" s="3"/>
      <c r="T726" t="s">
        <v>36</v>
      </c>
      <c r="V726" s="3"/>
      <c r="W726" s="3"/>
      <c r="X726" s="3"/>
      <c r="Y726" s="3"/>
      <c r="Z726" s="3"/>
      <c r="AA726" s="3"/>
      <c r="AB726" s="3"/>
    </row>
    <row r="727" spans="1:29" x14ac:dyDescent="0.3">
      <c r="A727" s="2" t="str">
        <f>HYPERLINK("https://www.cadth.ca/lanadelumab", "Takhzyro")</f>
        <v>Takhzyro</v>
      </c>
      <c r="B727" t="s">
        <v>2277</v>
      </c>
      <c r="C727" t="s">
        <v>2278</v>
      </c>
      <c r="D727" t="s">
        <v>55</v>
      </c>
      <c r="E727" t="s">
        <v>40</v>
      </c>
      <c r="F727" s="3">
        <v>43614</v>
      </c>
      <c r="G727" s="3">
        <v>43788</v>
      </c>
      <c r="H727" t="s">
        <v>2279</v>
      </c>
      <c r="I727" t="s">
        <v>33</v>
      </c>
      <c r="N727" s="3"/>
      <c r="O727" t="s">
        <v>2280</v>
      </c>
      <c r="Q727" s="3"/>
      <c r="R727" s="3"/>
      <c r="S727" s="3"/>
      <c r="T727" t="s">
        <v>36</v>
      </c>
      <c r="V727" s="3"/>
      <c r="W727" s="3"/>
      <c r="X727" s="3"/>
      <c r="Y727" s="3"/>
      <c r="Z727" s="3"/>
      <c r="AA727" s="3"/>
      <c r="AB727" s="3"/>
    </row>
    <row r="728" spans="1:29" x14ac:dyDescent="0.3">
      <c r="A728" s="2" t="str">
        <f>HYPERLINK("https://www.cadth.ca/ixekizumab-1", "Taltz")</f>
        <v>Taltz</v>
      </c>
      <c r="B728" t="s">
        <v>2281</v>
      </c>
      <c r="C728" t="s">
        <v>551</v>
      </c>
      <c r="D728" t="s">
        <v>55</v>
      </c>
      <c r="E728" t="s">
        <v>40</v>
      </c>
      <c r="F728" s="3">
        <v>43728</v>
      </c>
      <c r="G728" s="3">
        <v>43914</v>
      </c>
      <c r="H728" t="s">
        <v>2282</v>
      </c>
      <c r="I728" t="s">
        <v>33</v>
      </c>
      <c r="N728" s="3"/>
      <c r="O728" t="s">
        <v>133</v>
      </c>
      <c r="Q728" s="3"/>
      <c r="R728" s="3"/>
      <c r="S728" s="3"/>
      <c r="T728" t="s">
        <v>36</v>
      </c>
      <c r="V728" s="3"/>
      <c r="W728" s="3"/>
      <c r="X728" s="3"/>
      <c r="Y728" s="3"/>
      <c r="Z728" s="3"/>
      <c r="AA728" s="3"/>
      <c r="AB728" s="3"/>
    </row>
    <row r="729" spans="1:29" x14ac:dyDescent="0.3">
      <c r="A729" s="2" t="str">
        <f>HYPERLINK("https://www.cadth.ca/ixekizumab", "Taltz")</f>
        <v>Taltz</v>
      </c>
      <c r="B729" t="s">
        <v>2283</v>
      </c>
      <c r="C729" t="s">
        <v>558</v>
      </c>
      <c r="D729" t="s">
        <v>55</v>
      </c>
      <c r="E729" t="s">
        <v>40</v>
      </c>
      <c r="F729" s="3">
        <v>42452</v>
      </c>
      <c r="G729" s="3">
        <v>42668</v>
      </c>
      <c r="H729" t="s">
        <v>2284</v>
      </c>
      <c r="I729" t="s">
        <v>33</v>
      </c>
      <c r="N729" s="3"/>
      <c r="O729" t="s">
        <v>133</v>
      </c>
      <c r="Q729" s="3"/>
      <c r="R729" s="3"/>
      <c r="S729" s="3"/>
      <c r="T729" t="s">
        <v>36</v>
      </c>
      <c r="V729" s="3"/>
      <c r="W729" s="3"/>
      <c r="X729" s="3"/>
      <c r="Y729" s="3"/>
      <c r="Z729" s="3"/>
      <c r="AA729" s="3"/>
      <c r="AB729" s="3"/>
    </row>
    <row r="730" spans="1:29" x14ac:dyDescent="0.3">
      <c r="A730" s="2" t="str">
        <f>HYPERLINK("https://www.cadth.ca/ixekizumab-0", "Taltz")</f>
        <v>Taltz</v>
      </c>
      <c r="B730" t="s">
        <v>2281</v>
      </c>
      <c r="C730" t="s">
        <v>555</v>
      </c>
      <c r="D730" t="s">
        <v>55</v>
      </c>
      <c r="E730" t="s">
        <v>40</v>
      </c>
      <c r="F730" s="3">
        <v>43151</v>
      </c>
      <c r="G730" s="3">
        <v>43333</v>
      </c>
      <c r="H730" t="s">
        <v>2285</v>
      </c>
      <c r="I730" t="s">
        <v>33</v>
      </c>
      <c r="N730" s="3"/>
      <c r="O730" t="s">
        <v>133</v>
      </c>
      <c r="Q730" s="3"/>
      <c r="R730" s="3"/>
      <c r="S730" s="3"/>
      <c r="T730" t="s">
        <v>36</v>
      </c>
      <c r="V730" s="3"/>
      <c r="W730" s="3"/>
      <c r="X730" s="3"/>
      <c r="Y730" s="3"/>
      <c r="Z730" s="3"/>
      <c r="AA730" s="3"/>
      <c r="AB730" s="3"/>
    </row>
    <row r="731" spans="1:29" x14ac:dyDescent="0.3">
      <c r="A731" s="2" t="str">
        <f>HYPERLINK("https://www.cadth.ca/talazoparib", "Talzenna")</f>
        <v>Talzenna</v>
      </c>
      <c r="B731" t="s">
        <v>2286</v>
      </c>
      <c r="C731" t="s">
        <v>2287</v>
      </c>
      <c r="D731" t="s">
        <v>577</v>
      </c>
      <c r="E731" t="s">
        <v>578</v>
      </c>
      <c r="F731" s="3"/>
      <c r="G731" s="3"/>
      <c r="H731" t="s">
        <v>391</v>
      </c>
      <c r="I731" t="s">
        <v>33</v>
      </c>
      <c r="N731" s="3"/>
      <c r="O731" t="s">
        <v>387</v>
      </c>
      <c r="Q731" s="3"/>
      <c r="R731" s="3"/>
      <c r="S731" s="3"/>
      <c r="T731" t="s">
        <v>579</v>
      </c>
      <c r="V731" s="3"/>
      <c r="W731" s="3"/>
      <c r="X731" s="3"/>
      <c r="Y731" s="3"/>
      <c r="Z731" s="3"/>
      <c r="AA731" s="3"/>
      <c r="AB731" s="3"/>
    </row>
    <row r="732" spans="1:29" x14ac:dyDescent="0.3">
      <c r="A732" s="2" t="str">
        <f>HYPERLINK("https://www.cadth.ca/erlotinib", "Tarceva")</f>
        <v>Tarceva</v>
      </c>
      <c r="B732" t="s">
        <v>2288</v>
      </c>
      <c r="C732" t="s">
        <v>1196</v>
      </c>
      <c r="D732" t="s">
        <v>46</v>
      </c>
      <c r="E732" t="s">
        <v>40</v>
      </c>
      <c r="F732" s="3">
        <v>38552</v>
      </c>
      <c r="G732" s="3">
        <v>38693</v>
      </c>
      <c r="H732" t="s">
        <v>2289</v>
      </c>
      <c r="I732" t="s">
        <v>33</v>
      </c>
      <c r="N732" s="3"/>
      <c r="O732" t="s">
        <v>80</v>
      </c>
      <c r="Q732" s="3"/>
      <c r="R732" s="3"/>
      <c r="S732" s="3"/>
      <c r="T732" t="s">
        <v>36</v>
      </c>
      <c r="V732" s="3"/>
      <c r="W732" s="3"/>
      <c r="X732" s="3"/>
      <c r="Y732" s="3"/>
      <c r="Z732" s="3"/>
      <c r="AA732" s="3"/>
      <c r="AB732" s="3"/>
    </row>
    <row r="733" spans="1:29" x14ac:dyDescent="0.3">
      <c r="A733" s="2" t="str">
        <f>HYPERLINK("https://www.cadth.ca/oxycodone-hci-naloxone-hci", "Targin")</f>
        <v>Targin</v>
      </c>
      <c r="B733" t="s">
        <v>2290</v>
      </c>
      <c r="C733" t="s">
        <v>2291</v>
      </c>
      <c r="D733" t="s">
        <v>39</v>
      </c>
      <c r="E733" t="s">
        <v>40</v>
      </c>
      <c r="F733" s="3">
        <v>40729</v>
      </c>
      <c r="G733" s="3">
        <v>40933</v>
      </c>
      <c r="H733" t="s">
        <v>2292</v>
      </c>
      <c r="I733" t="s">
        <v>33</v>
      </c>
      <c r="N733" s="3"/>
      <c r="O733" t="s">
        <v>196</v>
      </c>
      <c r="Q733" s="3"/>
      <c r="R733" s="3"/>
      <c r="S733" s="3"/>
      <c r="T733" t="s">
        <v>142</v>
      </c>
      <c r="V733" s="3"/>
      <c r="W733" s="3"/>
      <c r="X733" s="3"/>
      <c r="Y733" s="3"/>
      <c r="Z733" s="3"/>
      <c r="AA733" s="3"/>
      <c r="AB733" s="3"/>
    </row>
    <row r="734" spans="1:29" x14ac:dyDescent="0.3">
      <c r="A734" s="2" t="str">
        <f>HYPERLINK("https://www.cadth.ca/oxycodone-naloxone", "Targin")</f>
        <v>Targin</v>
      </c>
      <c r="B734" t="s">
        <v>2293</v>
      </c>
      <c r="C734" t="s">
        <v>2294</v>
      </c>
      <c r="E734" t="s">
        <v>154</v>
      </c>
      <c r="F734" s="3">
        <v>40512</v>
      </c>
      <c r="G734" s="3"/>
      <c r="H734" t="s">
        <v>2295</v>
      </c>
      <c r="I734" t="s">
        <v>33</v>
      </c>
      <c r="N734" s="3"/>
      <c r="O734" t="s">
        <v>196</v>
      </c>
      <c r="Q734" s="3"/>
      <c r="R734" s="3"/>
      <c r="S734" s="3"/>
      <c r="T734" t="s">
        <v>36</v>
      </c>
      <c r="V734" s="3"/>
      <c r="W734" s="3"/>
      <c r="X734" s="3"/>
      <c r="Y734" s="3"/>
      <c r="Z734" s="3"/>
      <c r="AA734" s="3"/>
      <c r="AB734" s="3"/>
    </row>
    <row r="735" spans="1:29" x14ac:dyDescent="0.3">
      <c r="A735" s="2" t="str">
        <f>HYPERLINK("https://www.cadth.ca/fostamatinib", "Tavalisse")</f>
        <v>Tavalisse</v>
      </c>
      <c r="B735" t="s">
        <v>2296</v>
      </c>
      <c r="C735" t="s">
        <v>2297</v>
      </c>
      <c r="E735" t="s">
        <v>31</v>
      </c>
      <c r="F735" s="3">
        <v>44399</v>
      </c>
      <c r="G735" s="3"/>
      <c r="H735" t="s">
        <v>2298</v>
      </c>
      <c r="I735" t="s">
        <v>33</v>
      </c>
      <c r="K735" t="s">
        <v>391</v>
      </c>
      <c r="N735" s="3"/>
      <c r="O735" t="s">
        <v>2299</v>
      </c>
      <c r="Q735" s="3"/>
      <c r="R735" s="3"/>
      <c r="S735" s="3"/>
      <c r="T735" t="s">
        <v>36</v>
      </c>
      <c r="V735" s="3"/>
      <c r="W735" s="3"/>
      <c r="X735" s="3"/>
      <c r="Y735" s="3"/>
      <c r="Z735" s="3"/>
      <c r="AA735" s="3"/>
      <c r="AB735" s="3"/>
    </row>
    <row r="736" spans="1:29" x14ac:dyDescent="0.3">
      <c r="A736" s="2" t="str">
        <f>HYPERLINK("https://www.cadth.ca/macitentan-and-tadalafil", "TBC")</f>
        <v>TBC</v>
      </c>
      <c r="B736" t="s">
        <v>2300</v>
      </c>
      <c r="C736" t="s">
        <v>131</v>
      </c>
      <c r="E736" t="s">
        <v>31</v>
      </c>
      <c r="F736" s="3">
        <v>44336</v>
      </c>
      <c r="G736" s="3"/>
      <c r="H736" t="s">
        <v>2301</v>
      </c>
      <c r="I736" t="s">
        <v>33</v>
      </c>
      <c r="N736" s="3"/>
      <c r="O736" t="s">
        <v>665</v>
      </c>
      <c r="Q736" s="3"/>
      <c r="R736" s="3"/>
      <c r="S736" s="3"/>
      <c r="T736" t="s">
        <v>36</v>
      </c>
      <c r="V736" s="3"/>
      <c r="W736" s="3"/>
      <c r="X736" s="3"/>
      <c r="Y736" s="3"/>
      <c r="Z736" s="3"/>
      <c r="AA736" s="3"/>
      <c r="AB736" s="3"/>
    </row>
    <row r="737" spans="1:28" x14ac:dyDescent="0.3">
      <c r="A737" s="2" t="str">
        <f>HYPERLINK("https://www.cadth.ca/filgrastim-1", "TBC")</f>
        <v>TBC</v>
      </c>
      <c r="B737" t="s">
        <v>2302</v>
      </c>
      <c r="E737" t="s">
        <v>154</v>
      </c>
      <c r="F737" s="3"/>
      <c r="G737" s="3"/>
      <c r="H737" t="s">
        <v>2303</v>
      </c>
      <c r="I737" t="s">
        <v>33</v>
      </c>
      <c r="N737" s="3"/>
      <c r="O737" t="s">
        <v>837</v>
      </c>
      <c r="Q737" s="3"/>
      <c r="R737" s="3"/>
      <c r="S737" s="3"/>
      <c r="T737" t="s">
        <v>157</v>
      </c>
      <c r="V737" s="3"/>
      <c r="W737" s="3"/>
      <c r="X737" s="3"/>
      <c r="Y737" s="3"/>
      <c r="Z737" s="3"/>
      <c r="AA737" s="3"/>
      <c r="AB737" s="3"/>
    </row>
    <row r="738" spans="1:28" x14ac:dyDescent="0.3">
      <c r="A738" s="2" t="str">
        <f>HYPERLINK("https://www.cadth.ca/avalglucosidase-alfa", "TBC")</f>
        <v>TBC</v>
      </c>
      <c r="B738" t="s">
        <v>2304</v>
      </c>
      <c r="C738" t="s">
        <v>2305</v>
      </c>
      <c r="E738" t="s">
        <v>484</v>
      </c>
      <c r="F738" s="3">
        <v>44469</v>
      </c>
      <c r="G738" s="3"/>
      <c r="H738" t="s">
        <v>2306</v>
      </c>
      <c r="I738" t="s">
        <v>33</v>
      </c>
      <c r="N738" s="3"/>
      <c r="O738" t="s">
        <v>731</v>
      </c>
      <c r="Q738" s="3"/>
      <c r="R738" s="3"/>
      <c r="S738" s="3"/>
      <c r="T738" t="s">
        <v>36</v>
      </c>
      <c r="V738" s="3"/>
      <c r="W738" s="3"/>
      <c r="X738" s="3"/>
      <c r="Y738" s="3"/>
      <c r="Z738" s="3"/>
      <c r="AA738" s="3"/>
      <c r="AB738" s="3"/>
    </row>
    <row r="739" spans="1:28" x14ac:dyDescent="0.3">
      <c r="A739" s="2" t="str">
        <f>HYPERLINK("https://www.cadth.ca/sacituzumab-govitecan", "TBC")</f>
        <v>TBC</v>
      </c>
      <c r="B739" t="s">
        <v>2307</v>
      </c>
      <c r="C739" t="s">
        <v>2308</v>
      </c>
      <c r="E739" t="s">
        <v>31</v>
      </c>
      <c r="F739" s="3">
        <v>44377</v>
      </c>
      <c r="G739" s="3"/>
      <c r="H739" t="s">
        <v>2309</v>
      </c>
      <c r="I739" t="s">
        <v>33</v>
      </c>
      <c r="K739" t="s">
        <v>177</v>
      </c>
      <c r="N739" s="3"/>
      <c r="O739" t="s">
        <v>396</v>
      </c>
      <c r="Q739" s="3"/>
      <c r="R739" s="3"/>
      <c r="S739" s="3"/>
      <c r="T739" t="s">
        <v>36</v>
      </c>
      <c r="V739" s="3"/>
      <c r="W739" s="3"/>
      <c r="X739" s="3"/>
      <c r="Y739" s="3"/>
      <c r="Z739" s="3"/>
      <c r="AA739" s="3"/>
      <c r="AB739" s="3"/>
    </row>
    <row r="740" spans="1:28" x14ac:dyDescent="0.3">
      <c r="A740" s="2" t="str">
        <f>HYPERLINK("https://www.cadth.ca/halobetasol-propionate-and-tazarotene", "TBC")</f>
        <v>TBC</v>
      </c>
      <c r="B740" t="s">
        <v>2310</v>
      </c>
      <c r="C740" t="s">
        <v>558</v>
      </c>
      <c r="E740" t="s">
        <v>113</v>
      </c>
      <c r="F740" s="3">
        <v>43500</v>
      </c>
      <c r="G740" s="3"/>
      <c r="H740" t="s">
        <v>2311</v>
      </c>
      <c r="I740" t="s">
        <v>33</v>
      </c>
      <c r="N740" s="3"/>
      <c r="O740" t="s">
        <v>593</v>
      </c>
      <c r="Q740" s="3"/>
      <c r="R740" s="3"/>
      <c r="S740" s="3"/>
      <c r="T740" t="s">
        <v>36</v>
      </c>
      <c r="V740" s="3"/>
      <c r="W740" s="3"/>
      <c r="X740" s="3"/>
      <c r="Y740" s="3"/>
      <c r="Z740" s="3"/>
      <c r="AA740" s="3"/>
      <c r="AB740" s="3"/>
    </row>
    <row r="741" spans="1:28" x14ac:dyDescent="0.3">
      <c r="A741" s="2" t="str">
        <f>HYPERLINK("https://www.cadth.ca/etonogestrel", "TBC")</f>
        <v>TBC</v>
      </c>
      <c r="B741" t="s">
        <v>1618</v>
      </c>
      <c r="C741" t="s">
        <v>1619</v>
      </c>
      <c r="E741" t="s">
        <v>113</v>
      </c>
      <c r="F741" s="3">
        <v>43734</v>
      </c>
      <c r="G741" s="3"/>
      <c r="H741" t="s">
        <v>2312</v>
      </c>
      <c r="I741" t="s">
        <v>33</v>
      </c>
      <c r="N741" s="3"/>
      <c r="O741" t="s">
        <v>289</v>
      </c>
      <c r="Q741" s="3"/>
      <c r="R741" s="3"/>
      <c r="S741" s="3"/>
      <c r="T741" t="s">
        <v>36</v>
      </c>
      <c r="V741" s="3"/>
      <c r="W741" s="3"/>
      <c r="X741" s="3"/>
      <c r="Y741" s="3"/>
      <c r="Z741" s="3"/>
      <c r="AA741" s="3"/>
      <c r="AB741" s="3"/>
    </row>
    <row r="742" spans="1:28" x14ac:dyDescent="0.3">
      <c r="A742" s="2" t="str">
        <f>HYPERLINK("https://www.cadth.ca/ravulizumab", "TBC")</f>
        <v>TBC</v>
      </c>
      <c r="B742" t="s">
        <v>2313</v>
      </c>
      <c r="C742" t="s">
        <v>2314</v>
      </c>
      <c r="E742" t="s">
        <v>113</v>
      </c>
      <c r="F742" s="3">
        <v>43650</v>
      </c>
      <c r="G742" s="3"/>
      <c r="H742" t="s">
        <v>2315</v>
      </c>
      <c r="I742" t="s">
        <v>33</v>
      </c>
      <c r="N742" s="3"/>
      <c r="O742" t="s">
        <v>2316</v>
      </c>
      <c r="Q742" s="3"/>
      <c r="R742" s="3"/>
      <c r="S742" s="3"/>
      <c r="T742" t="s">
        <v>36</v>
      </c>
      <c r="V742" s="3"/>
      <c r="W742" s="3"/>
      <c r="X742" s="3"/>
      <c r="Y742" s="3"/>
      <c r="Z742" s="3"/>
      <c r="AA742" s="3"/>
      <c r="AB742" s="3"/>
    </row>
    <row r="743" spans="1:28" x14ac:dyDescent="0.3">
      <c r="A743" s="2" t="str">
        <f>HYPERLINK("https://www.cadth.ca/filgotinib", "TBC")</f>
        <v>TBC</v>
      </c>
      <c r="B743" t="s">
        <v>2317</v>
      </c>
      <c r="C743" t="s">
        <v>84</v>
      </c>
      <c r="E743" t="s">
        <v>113</v>
      </c>
      <c r="F743" s="3">
        <v>44047</v>
      </c>
      <c r="G743" s="3"/>
      <c r="H743" t="s">
        <v>2318</v>
      </c>
      <c r="I743" t="s">
        <v>33</v>
      </c>
      <c r="N743" s="3"/>
      <c r="O743" t="s">
        <v>396</v>
      </c>
      <c r="Q743" s="3"/>
      <c r="R743" s="3"/>
      <c r="S743" s="3"/>
      <c r="T743" t="s">
        <v>36</v>
      </c>
      <c r="V743" s="3"/>
      <c r="W743" s="3"/>
      <c r="X743" s="3"/>
      <c r="Y743" s="3"/>
      <c r="Z743" s="3"/>
      <c r="AA743" s="3"/>
      <c r="AB743" s="3"/>
    </row>
    <row r="744" spans="1:28" x14ac:dyDescent="0.3">
      <c r="A744" s="2" t="str">
        <f>HYPERLINK("https://www.cadth.ca/enfortumab-vedotin", "TBC")</f>
        <v>TBC</v>
      </c>
      <c r="B744" t="s">
        <v>2319</v>
      </c>
      <c r="C744" t="s">
        <v>2320</v>
      </c>
      <c r="E744" t="s">
        <v>31</v>
      </c>
      <c r="F744" s="3">
        <v>44370</v>
      </c>
      <c r="G744" s="3"/>
      <c r="H744" t="s">
        <v>2321</v>
      </c>
      <c r="I744" t="s">
        <v>33</v>
      </c>
      <c r="K744" t="s">
        <v>367</v>
      </c>
      <c r="N744" s="3"/>
      <c r="O744" t="s">
        <v>2322</v>
      </c>
      <c r="Q744" s="3"/>
      <c r="R744" s="3"/>
      <c r="S744" s="3"/>
      <c r="T744" t="s">
        <v>36</v>
      </c>
      <c r="V744" s="3"/>
      <c r="W744" s="3"/>
      <c r="X744" s="3"/>
      <c r="Y744" s="3"/>
      <c r="Z744" s="3"/>
      <c r="AA744" s="3"/>
      <c r="AB744" s="3"/>
    </row>
    <row r="745" spans="1:28" x14ac:dyDescent="0.3">
      <c r="A745" s="2" t="str">
        <f>HYPERLINK("https://www.cadth.ca/abrocitinib", "TBC")</f>
        <v>TBC</v>
      </c>
      <c r="B745" t="s">
        <v>2323</v>
      </c>
      <c r="C745" t="s">
        <v>2324</v>
      </c>
      <c r="E745" t="s">
        <v>1340</v>
      </c>
      <c r="F745" s="3">
        <v>44312</v>
      </c>
      <c r="G745" s="3"/>
      <c r="H745" t="s">
        <v>2325</v>
      </c>
      <c r="I745" t="s">
        <v>33</v>
      </c>
      <c r="N745" s="3"/>
      <c r="O745" t="s">
        <v>445</v>
      </c>
      <c r="Q745" s="3"/>
      <c r="R745" s="3"/>
      <c r="S745" s="3"/>
      <c r="T745" t="s">
        <v>36</v>
      </c>
      <c r="V745" s="3"/>
      <c r="W745" s="3"/>
      <c r="X745" s="3"/>
      <c r="Y745" s="3"/>
      <c r="Z745" s="3"/>
      <c r="AA745" s="3"/>
      <c r="AB745" s="3"/>
    </row>
    <row r="746" spans="1:28" x14ac:dyDescent="0.3">
      <c r="A746" s="2" t="str">
        <f>HYPERLINK("https://www.cadth.ca/tralokinumab", "TBC")</f>
        <v>TBC</v>
      </c>
      <c r="B746" t="s">
        <v>2326</v>
      </c>
      <c r="C746" t="s">
        <v>732</v>
      </c>
      <c r="E746" t="s">
        <v>31</v>
      </c>
      <c r="F746" s="3">
        <v>44313</v>
      </c>
      <c r="G746" s="3"/>
      <c r="H746" t="s">
        <v>2327</v>
      </c>
      <c r="I746" t="s">
        <v>33</v>
      </c>
      <c r="N746" s="3"/>
      <c r="O746" t="s">
        <v>1867</v>
      </c>
      <c r="Q746" s="3"/>
      <c r="R746" s="3"/>
      <c r="S746" s="3"/>
      <c r="T746" t="s">
        <v>36</v>
      </c>
      <c r="V746" s="3"/>
      <c r="W746" s="3"/>
      <c r="X746" s="3"/>
      <c r="Y746" s="3"/>
      <c r="Z746" s="3"/>
      <c r="AA746" s="3"/>
      <c r="AB746" s="3"/>
    </row>
    <row r="747" spans="1:28" x14ac:dyDescent="0.3">
      <c r="A747" s="2" t="str">
        <f>HYPERLINK("https://www.cadth.ca/lisocabtagene-maraleucel", "TBC")</f>
        <v>TBC</v>
      </c>
      <c r="B747" t="s">
        <v>2328</v>
      </c>
      <c r="C747" t="s">
        <v>2329</v>
      </c>
      <c r="E747" t="s">
        <v>31</v>
      </c>
      <c r="F747" s="3">
        <v>44417</v>
      </c>
      <c r="G747" s="3"/>
      <c r="H747" t="s">
        <v>2330</v>
      </c>
      <c r="I747" t="s">
        <v>33</v>
      </c>
      <c r="K747" t="s">
        <v>96</v>
      </c>
      <c r="N747" s="3"/>
      <c r="O747" t="s">
        <v>2331</v>
      </c>
      <c r="Q747" s="3"/>
      <c r="R747" s="3"/>
      <c r="S747" s="3"/>
      <c r="T747" t="s">
        <v>36</v>
      </c>
      <c r="V747" s="3"/>
      <c r="W747" s="3"/>
      <c r="X747" s="3"/>
      <c r="Y747" s="3"/>
      <c r="Z747" s="3"/>
      <c r="AA747" s="3"/>
      <c r="AB747" s="3"/>
    </row>
    <row r="748" spans="1:28" x14ac:dyDescent="0.3">
      <c r="A748" s="2" t="str">
        <f>HYPERLINK("https://www.cadth.ca/mogamulizumab", "TBC")</f>
        <v>TBC</v>
      </c>
      <c r="B748" t="s">
        <v>2332</v>
      </c>
      <c r="C748" t="s">
        <v>2333</v>
      </c>
      <c r="E748" t="s">
        <v>31</v>
      </c>
      <c r="F748" s="3">
        <v>44452</v>
      </c>
      <c r="G748" s="3"/>
      <c r="H748" t="s">
        <v>2334</v>
      </c>
      <c r="I748" t="s">
        <v>33</v>
      </c>
      <c r="K748" t="s">
        <v>96</v>
      </c>
      <c r="N748" s="3"/>
      <c r="O748" t="s">
        <v>2335</v>
      </c>
      <c r="Q748" s="3"/>
      <c r="R748" s="3"/>
      <c r="S748" s="3"/>
      <c r="T748" t="s">
        <v>36</v>
      </c>
      <c r="V748" s="3"/>
      <c r="W748" s="3"/>
      <c r="X748" s="3"/>
      <c r="Y748" s="3"/>
      <c r="Z748" s="3"/>
      <c r="AA748" s="3"/>
      <c r="AB748" s="3"/>
    </row>
    <row r="749" spans="1:28" x14ac:dyDescent="0.3">
      <c r="A749" s="2" t="str">
        <f>HYPERLINK("https://www.cadth.ca/cariprazine", "TBC")</f>
        <v>TBC</v>
      </c>
      <c r="B749" t="s">
        <v>2336</v>
      </c>
      <c r="C749" t="s">
        <v>38</v>
      </c>
      <c r="E749" t="s">
        <v>737</v>
      </c>
      <c r="F749" s="3"/>
      <c r="G749" s="3"/>
      <c r="H749" t="s">
        <v>2337</v>
      </c>
      <c r="I749" t="s">
        <v>33</v>
      </c>
      <c r="N749" s="3"/>
      <c r="O749" t="s">
        <v>2338</v>
      </c>
      <c r="Q749" s="3"/>
      <c r="R749" s="3"/>
      <c r="S749" s="3"/>
      <c r="V749" s="3"/>
      <c r="W749" s="3"/>
      <c r="X749" s="3"/>
      <c r="Y749" s="3"/>
      <c r="Z749" s="3"/>
      <c r="AA749" s="3"/>
      <c r="AB749" s="3"/>
    </row>
    <row r="750" spans="1:28" x14ac:dyDescent="0.3">
      <c r="A750" s="2" t="str">
        <f>HYPERLINK("https://www.cadth.ca/darunavir-cobicistat", "TBC")</f>
        <v>TBC</v>
      </c>
      <c r="B750" t="s">
        <v>2339</v>
      </c>
      <c r="C750" t="s">
        <v>273</v>
      </c>
      <c r="E750" t="s">
        <v>113</v>
      </c>
      <c r="F750" s="3">
        <v>41733</v>
      </c>
      <c r="G750" s="3"/>
      <c r="H750" t="s">
        <v>2340</v>
      </c>
      <c r="I750" t="s">
        <v>33</v>
      </c>
      <c r="N750" s="3"/>
      <c r="O750" t="s">
        <v>665</v>
      </c>
      <c r="Q750" s="3"/>
      <c r="R750" s="3"/>
      <c r="S750" s="3"/>
      <c r="T750" t="s">
        <v>36</v>
      </c>
      <c r="V750" s="3"/>
      <c r="W750" s="3"/>
      <c r="X750" s="3"/>
      <c r="Y750" s="3"/>
      <c r="Z750" s="3"/>
      <c r="AA750" s="3"/>
      <c r="AB750" s="3"/>
    </row>
    <row r="751" spans="1:28" x14ac:dyDescent="0.3">
      <c r="A751" s="2" t="str">
        <f>HYPERLINK("https://www.cadth.ca/filgrastim-0", "TBC")</f>
        <v>TBC</v>
      </c>
      <c r="B751" t="s">
        <v>2302</v>
      </c>
      <c r="C751" t="s">
        <v>2341</v>
      </c>
      <c r="E751" t="s">
        <v>154</v>
      </c>
      <c r="F751" s="3">
        <v>43405</v>
      </c>
      <c r="G751" s="3"/>
      <c r="H751" t="s">
        <v>2342</v>
      </c>
      <c r="I751" t="s">
        <v>33</v>
      </c>
      <c r="N751" s="3"/>
      <c r="O751" t="s">
        <v>387</v>
      </c>
      <c r="Q751" s="3"/>
      <c r="R751" s="3"/>
      <c r="S751" s="3"/>
      <c r="T751" t="s">
        <v>36</v>
      </c>
      <c r="V751" s="3"/>
      <c r="W751" s="3"/>
      <c r="X751" s="3"/>
      <c r="Y751" s="3"/>
      <c r="Z751" s="3"/>
      <c r="AA751" s="3"/>
      <c r="AB751" s="3"/>
    </row>
    <row r="752" spans="1:28" x14ac:dyDescent="0.3">
      <c r="A752" s="2" t="str">
        <f>HYPERLINK("https://www.cadth.ca/bimekizumab", "TBC")</f>
        <v>TBC</v>
      </c>
      <c r="B752" t="s">
        <v>2343</v>
      </c>
      <c r="C752" t="s">
        <v>558</v>
      </c>
      <c r="E752" t="s">
        <v>31</v>
      </c>
      <c r="F752" s="3">
        <v>44425</v>
      </c>
      <c r="G752" s="3"/>
      <c r="H752" t="s">
        <v>2344</v>
      </c>
      <c r="I752" t="s">
        <v>33</v>
      </c>
      <c r="N752" s="3"/>
      <c r="O752" t="s">
        <v>481</v>
      </c>
      <c r="Q752" s="3"/>
      <c r="R752" s="3"/>
      <c r="S752" s="3"/>
      <c r="T752" t="s">
        <v>36</v>
      </c>
      <c r="V752" s="3"/>
      <c r="W752" s="3"/>
      <c r="X752" s="3"/>
      <c r="Y752" s="3"/>
      <c r="Z752" s="3"/>
      <c r="AA752" s="3"/>
      <c r="AB752" s="3"/>
    </row>
    <row r="753" spans="1:29" x14ac:dyDescent="0.3">
      <c r="A753" s="2" t="str">
        <f>HYPERLINK("https://www.cadth.ca/somatrogon", "TBC")</f>
        <v>TBC</v>
      </c>
      <c r="B753" t="s">
        <v>2345</v>
      </c>
      <c r="C753" t="s">
        <v>2346</v>
      </c>
      <c r="E753" t="s">
        <v>31</v>
      </c>
      <c r="F753" s="3">
        <v>44350</v>
      </c>
      <c r="G753" s="3"/>
      <c r="H753" t="s">
        <v>2347</v>
      </c>
      <c r="I753" t="s">
        <v>33</v>
      </c>
      <c r="N753" s="3"/>
      <c r="O753" t="s">
        <v>445</v>
      </c>
      <c r="Q753" s="3"/>
      <c r="R753" s="3"/>
      <c r="S753" s="3"/>
      <c r="T753" t="s">
        <v>36</v>
      </c>
      <c r="V753" s="3"/>
      <c r="W753" s="3"/>
      <c r="X753" s="3"/>
      <c r="Y753" s="3"/>
      <c r="Z753" s="3"/>
      <c r="AA753" s="3"/>
      <c r="AB753" s="3"/>
    </row>
    <row r="754" spans="1:29" x14ac:dyDescent="0.3">
      <c r="A754" s="2" t="str">
        <f>HYPERLINK("https://www.cadth.ca/immune-globulin-human-and-recombinant-human-hyaluronidase-tbc", "TBC")</f>
        <v>TBC</v>
      </c>
      <c r="B754" t="s">
        <v>2348</v>
      </c>
      <c r="C754" t="s">
        <v>2349</v>
      </c>
      <c r="E754" t="s">
        <v>31</v>
      </c>
      <c r="F754" s="3">
        <v>44371</v>
      </c>
      <c r="G754" s="3"/>
      <c r="H754" t="s">
        <v>2350</v>
      </c>
      <c r="I754" t="s">
        <v>33</v>
      </c>
      <c r="K754" t="s">
        <v>391</v>
      </c>
      <c r="N754" s="3"/>
      <c r="O754" t="s">
        <v>243</v>
      </c>
      <c r="Q754" s="3"/>
      <c r="R754" s="3"/>
      <c r="S754" s="3"/>
      <c r="T754" t="s">
        <v>36</v>
      </c>
      <c r="V754" s="3"/>
      <c r="W754" s="3"/>
      <c r="X754" s="3"/>
      <c r="Y754" s="3"/>
      <c r="Z754" s="3"/>
      <c r="AA754" s="3"/>
      <c r="AB754" s="3"/>
    </row>
    <row r="755" spans="1:29" x14ac:dyDescent="0.3">
      <c r="A755" s="2" t="str">
        <f>HYPERLINK("https://www.cadth.ca/dostarlimab", "TBC")</f>
        <v>TBC</v>
      </c>
      <c r="B755" t="s">
        <v>2351</v>
      </c>
      <c r="C755" t="s">
        <v>2352</v>
      </c>
      <c r="E755" t="s">
        <v>484</v>
      </c>
      <c r="F755" s="3">
        <v>44476</v>
      </c>
      <c r="G755" s="3"/>
      <c r="H755" t="s">
        <v>2353</v>
      </c>
      <c r="I755" t="s">
        <v>33</v>
      </c>
      <c r="K755" t="s">
        <v>311</v>
      </c>
      <c r="N755" s="3"/>
      <c r="O755" t="s">
        <v>259</v>
      </c>
      <c r="Q755" s="3"/>
      <c r="R755" s="3"/>
      <c r="S755" s="3"/>
      <c r="T755" t="s">
        <v>36</v>
      </c>
      <c r="V755" s="3"/>
      <c r="W755" s="3"/>
      <c r="X755" s="3"/>
      <c r="Y755" s="3"/>
      <c r="Z755" s="3"/>
      <c r="AA755" s="3"/>
      <c r="AB755" s="3"/>
    </row>
    <row r="756" spans="1:29" x14ac:dyDescent="0.3">
      <c r="A756" s="2" t="str">
        <f>HYPERLINK("https://www.cadth.ca/node/114000", "TBD")</f>
        <v>TBD</v>
      </c>
      <c r="B756" t="s">
        <v>2060</v>
      </c>
      <c r="E756" t="s">
        <v>154</v>
      </c>
      <c r="F756" s="3"/>
      <c r="G756" s="3"/>
      <c r="H756" t="s">
        <v>2354</v>
      </c>
      <c r="I756" t="s">
        <v>33</v>
      </c>
      <c r="K756" t="s">
        <v>2355</v>
      </c>
      <c r="L756" t="s">
        <v>2356</v>
      </c>
      <c r="M756" t="s">
        <v>60</v>
      </c>
      <c r="N756" s="3"/>
      <c r="O756" t="s">
        <v>2357</v>
      </c>
      <c r="P756" t="s">
        <v>2357</v>
      </c>
      <c r="Q756" s="3"/>
      <c r="R756" s="3"/>
      <c r="S756" s="3"/>
      <c r="V756" s="3"/>
      <c r="W756" s="3"/>
      <c r="X756" s="3"/>
      <c r="Y756" s="3"/>
      <c r="Z756" s="3"/>
      <c r="AA756" s="3"/>
      <c r="AB756" s="3"/>
      <c r="AC756" t="s">
        <v>647</v>
      </c>
    </row>
    <row r="757" spans="1:29" x14ac:dyDescent="0.3">
      <c r="A757" s="2" t="str">
        <f>HYPERLINK("https://www.cadth.ca/node/114742", "TBD")</f>
        <v>TBD</v>
      </c>
      <c r="B757" t="s">
        <v>1682</v>
      </c>
      <c r="E757" t="s">
        <v>154</v>
      </c>
      <c r="F757" s="3"/>
      <c r="G757" s="3"/>
      <c r="H757" t="s">
        <v>2358</v>
      </c>
      <c r="I757" t="s">
        <v>33</v>
      </c>
      <c r="K757" t="s">
        <v>2359</v>
      </c>
      <c r="L757" t="s">
        <v>2360</v>
      </c>
      <c r="M757" t="s">
        <v>60</v>
      </c>
      <c r="N757" s="3"/>
      <c r="O757" t="s">
        <v>387</v>
      </c>
      <c r="P757" t="s">
        <v>387</v>
      </c>
      <c r="Q757" s="3">
        <v>43600</v>
      </c>
      <c r="R757" s="3"/>
      <c r="S757" s="3"/>
      <c r="V757" s="3"/>
      <c r="W757" s="3"/>
      <c r="X757" s="3"/>
      <c r="Y757" s="3"/>
      <c r="Z757" s="3"/>
      <c r="AA757" s="3"/>
      <c r="AB757" s="3"/>
    </row>
    <row r="758" spans="1:29" x14ac:dyDescent="0.3">
      <c r="A758" s="2" t="str">
        <f>HYPERLINK("https://www.cadth.ca/node/104714", "TBD")</f>
        <v>TBD</v>
      </c>
      <c r="B758" t="s">
        <v>505</v>
      </c>
      <c r="E758" t="s">
        <v>113</v>
      </c>
      <c r="F758" s="3">
        <v>43014</v>
      </c>
      <c r="G758" s="3"/>
      <c r="H758" t="s">
        <v>2361</v>
      </c>
      <c r="I758" t="s">
        <v>33</v>
      </c>
      <c r="K758" t="s">
        <v>367</v>
      </c>
      <c r="L758" t="s">
        <v>2362</v>
      </c>
      <c r="M758" t="s">
        <v>60</v>
      </c>
      <c r="N758" s="3"/>
      <c r="O758" t="s">
        <v>510</v>
      </c>
      <c r="P758" t="s">
        <v>510</v>
      </c>
      <c r="Q758" s="3"/>
      <c r="R758" s="3"/>
      <c r="S758" s="3">
        <v>43024</v>
      </c>
      <c r="U758" t="s">
        <v>99</v>
      </c>
      <c r="V758" s="3">
        <v>43031</v>
      </c>
      <c r="W758" s="3">
        <v>43066</v>
      </c>
      <c r="X758" s="3"/>
      <c r="Y758" s="3"/>
      <c r="Z758" s="3"/>
      <c r="AA758" s="3"/>
      <c r="AB758" s="3"/>
      <c r="AC758" t="s">
        <v>2363</v>
      </c>
    </row>
    <row r="759" spans="1:29" x14ac:dyDescent="0.3">
      <c r="A759" s="2" t="str">
        <f>HYPERLINK("https://www.cadth.ca/node/113548", "TBD")</f>
        <v>TBD</v>
      </c>
      <c r="B759" t="s">
        <v>307</v>
      </c>
      <c r="E759" t="s">
        <v>154</v>
      </c>
      <c r="F759" s="3">
        <v>43538</v>
      </c>
      <c r="G759" s="3"/>
      <c r="H759" t="s">
        <v>2364</v>
      </c>
      <c r="I759" t="s">
        <v>33</v>
      </c>
      <c r="K759" t="s">
        <v>1574</v>
      </c>
      <c r="L759" t="s">
        <v>2365</v>
      </c>
      <c r="M759" t="s">
        <v>60</v>
      </c>
      <c r="N759" s="3"/>
      <c r="O759" t="s">
        <v>387</v>
      </c>
      <c r="P759" t="s">
        <v>387</v>
      </c>
      <c r="Q759" s="3"/>
      <c r="R759" s="3"/>
      <c r="S759" s="3">
        <v>43552</v>
      </c>
      <c r="V759" s="3">
        <v>43552</v>
      </c>
      <c r="W759" s="3"/>
      <c r="X759" s="3"/>
      <c r="Y759" s="3"/>
      <c r="Z759" s="3"/>
      <c r="AA759" s="3"/>
      <c r="AB759" s="3"/>
    </row>
    <row r="760" spans="1:29" x14ac:dyDescent="0.3">
      <c r="A760" s="2" t="str">
        <f>HYPERLINK("https://www.cadth.ca/node/116093", "TBD")</f>
        <v>TBD</v>
      </c>
      <c r="B760" t="s">
        <v>2070</v>
      </c>
      <c r="E760" t="s">
        <v>113</v>
      </c>
      <c r="F760" s="3">
        <v>43675</v>
      </c>
      <c r="G760" s="3"/>
      <c r="H760" t="s">
        <v>2366</v>
      </c>
      <c r="I760" t="s">
        <v>33</v>
      </c>
      <c r="K760" t="s">
        <v>673</v>
      </c>
      <c r="L760" t="s">
        <v>2367</v>
      </c>
      <c r="M760" t="s">
        <v>60</v>
      </c>
      <c r="N760" s="3"/>
      <c r="O760" t="s">
        <v>80</v>
      </c>
      <c r="P760" t="s">
        <v>80</v>
      </c>
      <c r="Q760" s="3"/>
      <c r="R760" s="3"/>
      <c r="S760" s="3">
        <v>43700</v>
      </c>
      <c r="V760" s="3">
        <v>43690</v>
      </c>
      <c r="W760" s="3">
        <v>43761</v>
      </c>
      <c r="X760" s="3"/>
      <c r="Y760" s="3"/>
      <c r="Z760" s="3"/>
      <c r="AA760" s="3"/>
      <c r="AB760" s="3"/>
      <c r="AC760" t="s">
        <v>2368</v>
      </c>
    </row>
    <row r="761" spans="1:29" x14ac:dyDescent="0.3">
      <c r="A761" s="2" t="str">
        <f>HYPERLINK("https://www.cadth.ca/brexucabtagene-autoleucel", "Tecartus")</f>
        <v>Tecartus</v>
      </c>
      <c r="B761" t="s">
        <v>2369</v>
      </c>
      <c r="C761" t="s">
        <v>2370</v>
      </c>
      <c r="D761" t="s">
        <v>55</v>
      </c>
      <c r="E761" t="s">
        <v>31</v>
      </c>
      <c r="F761" s="3">
        <v>44183</v>
      </c>
      <c r="G761" s="3">
        <v>44432</v>
      </c>
      <c r="H761" t="s">
        <v>2371</v>
      </c>
      <c r="I761" t="s">
        <v>33</v>
      </c>
      <c r="K761" t="s">
        <v>96</v>
      </c>
      <c r="N761" s="3"/>
      <c r="O761" t="s">
        <v>539</v>
      </c>
      <c r="Q761" s="3"/>
      <c r="R761" s="3"/>
      <c r="S761" s="3"/>
      <c r="T761" t="s">
        <v>36</v>
      </c>
      <c r="V761" s="3"/>
      <c r="W761" s="3"/>
      <c r="X761" s="3"/>
      <c r="Y761" s="3"/>
      <c r="Z761" s="3"/>
      <c r="AA761" s="3"/>
      <c r="AB761" s="3"/>
    </row>
    <row r="762" spans="1:29" x14ac:dyDescent="0.3">
      <c r="A762" s="2" t="str">
        <f>HYPERLINK("https://www.cadth.ca/node/117449", "Tecentriq")</f>
        <v>Tecentriq</v>
      </c>
      <c r="B762" t="s">
        <v>2372</v>
      </c>
      <c r="E762" t="s">
        <v>113</v>
      </c>
      <c r="F762" s="3">
        <v>43740</v>
      </c>
      <c r="G762" s="3"/>
      <c r="H762" t="s">
        <v>2373</v>
      </c>
      <c r="I762" t="s">
        <v>33</v>
      </c>
      <c r="J762" t="s">
        <v>2374</v>
      </c>
      <c r="K762" t="s">
        <v>177</v>
      </c>
      <c r="L762" t="s">
        <v>2375</v>
      </c>
      <c r="N762" s="3">
        <v>43727</v>
      </c>
      <c r="O762" t="s">
        <v>80</v>
      </c>
      <c r="P762" t="s">
        <v>80</v>
      </c>
      <c r="Q762" s="3"/>
      <c r="R762" s="3"/>
      <c r="S762" s="3">
        <v>43755</v>
      </c>
      <c r="V762" s="3">
        <v>43755</v>
      </c>
      <c r="W762" s="3">
        <v>43817</v>
      </c>
      <c r="X762" s="3"/>
      <c r="Y762" s="3"/>
      <c r="Z762" s="3"/>
      <c r="AA762" s="3"/>
      <c r="AB762" s="3"/>
      <c r="AC762" t="s">
        <v>2376</v>
      </c>
    </row>
    <row r="763" spans="1:29" x14ac:dyDescent="0.3">
      <c r="A763" s="2" t="str">
        <f>HYPERLINK("https://www.cadth.ca/node/113441", "Tecentriq")</f>
        <v>Tecentriq</v>
      </c>
      <c r="B763" t="s">
        <v>2372</v>
      </c>
      <c r="C763" t="s">
        <v>2377</v>
      </c>
      <c r="D763" t="s">
        <v>127</v>
      </c>
      <c r="E763" t="s">
        <v>40</v>
      </c>
      <c r="F763" s="3">
        <v>43528</v>
      </c>
      <c r="G763" s="3">
        <v>43860</v>
      </c>
      <c r="H763" t="s">
        <v>2378</v>
      </c>
      <c r="I763" t="s">
        <v>33</v>
      </c>
      <c r="J763" t="s">
        <v>2379</v>
      </c>
      <c r="K763" t="s">
        <v>205</v>
      </c>
      <c r="L763" t="s">
        <v>2380</v>
      </c>
      <c r="M763" t="s">
        <v>60</v>
      </c>
      <c r="N763" s="3">
        <v>43685</v>
      </c>
      <c r="O763" t="s">
        <v>80</v>
      </c>
      <c r="P763" t="s">
        <v>80</v>
      </c>
      <c r="Q763" s="3"/>
      <c r="R763" s="3"/>
      <c r="S763" s="3">
        <v>43542</v>
      </c>
      <c r="V763" s="3">
        <v>43542</v>
      </c>
      <c r="W763" s="3">
        <v>43592</v>
      </c>
      <c r="X763" s="3">
        <v>43727</v>
      </c>
      <c r="Y763" s="3">
        <v>43741</v>
      </c>
      <c r="Z763" s="3">
        <v>43756</v>
      </c>
      <c r="AA763" s="3"/>
      <c r="AB763" s="3">
        <v>43875</v>
      </c>
      <c r="AC763" t="s">
        <v>2381</v>
      </c>
    </row>
    <row r="764" spans="1:29" x14ac:dyDescent="0.3">
      <c r="A764" s="2" t="str">
        <f>HYPERLINK("https://www.cadth.ca/node/106226", "Tecentriq")</f>
        <v>Tecentriq</v>
      </c>
      <c r="B764" t="s">
        <v>2372</v>
      </c>
      <c r="C764" t="s">
        <v>2382</v>
      </c>
      <c r="D764" t="s">
        <v>55</v>
      </c>
      <c r="E764" t="s">
        <v>40</v>
      </c>
      <c r="F764" s="3">
        <v>43084</v>
      </c>
      <c r="G764" s="3">
        <v>43271</v>
      </c>
      <c r="H764" t="s">
        <v>2383</v>
      </c>
      <c r="I764" t="s">
        <v>33</v>
      </c>
      <c r="J764" t="s">
        <v>2379</v>
      </c>
      <c r="K764" t="s">
        <v>205</v>
      </c>
      <c r="L764" t="s">
        <v>2384</v>
      </c>
      <c r="M764" t="s">
        <v>60</v>
      </c>
      <c r="N764" s="3">
        <v>43196</v>
      </c>
      <c r="O764" t="s">
        <v>80</v>
      </c>
      <c r="P764" t="s">
        <v>80</v>
      </c>
      <c r="Q764" s="3"/>
      <c r="R764" s="3"/>
      <c r="S764" s="3">
        <v>43091</v>
      </c>
      <c r="U764" t="s">
        <v>62</v>
      </c>
      <c r="V764" s="3">
        <v>43108</v>
      </c>
      <c r="W764" s="3">
        <v>43144</v>
      </c>
      <c r="X764" s="3">
        <v>43237</v>
      </c>
      <c r="Y764" s="3">
        <v>43252</v>
      </c>
      <c r="Z764" s="3">
        <v>43266</v>
      </c>
      <c r="AA764" s="3"/>
      <c r="AB764" s="3">
        <v>43287</v>
      </c>
    </row>
    <row r="765" spans="1:29" x14ac:dyDescent="0.3">
      <c r="A765" s="2" t="str">
        <f>HYPERLINK("https://www.cadth.ca/node/118326", "Tecentriq &amp; Avastin")</f>
        <v>Tecentriq &amp; Avastin</v>
      </c>
      <c r="B765" t="s">
        <v>2385</v>
      </c>
      <c r="C765" t="s">
        <v>2386</v>
      </c>
      <c r="D765" t="s">
        <v>127</v>
      </c>
      <c r="E765" t="s">
        <v>40</v>
      </c>
      <c r="F765" s="3">
        <v>43787</v>
      </c>
      <c r="G765" s="3">
        <v>44015</v>
      </c>
      <c r="H765" t="s">
        <v>2387</v>
      </c>
      <c r="I765" t="s">
        <v>33</v>
      </c>
      <c r="J765" t="s">
        <v>2388</v>
      </c>
      <c r="K765" t="s">
        <v>205</v>
      </c>
      <c r="L765" t="s">
        <v>2389</v>
      </c>
      <c r="N765" s="3">
        <v>43609</v>
      </c>
      <c r="O765" t="s">
        <v>80</v>
      </c>
      <c r="P765" t="s">
        <v>80</v>
      </c>
      <c r="Q765" s="3"/>
      <c r="R765" s="3"/>
      <c r="S765" s="3">
        <v>43801</v>
      </c>
      <c r="V765" s="3">
        <v>43801</v>
      </c>
      <c r="W765" s="3">
        <v>43857</v>
      </c>
      <c r="X765" s="3">
        <v>43937</v>
      </c>
      <c r="Y765" s="3">
        <v>43951</v>
      </c>
      <c r="Z765" s="3">
        <v>43965</v>
      </c>
      <c r="AA765" s="3"/>
      <c r="AB765" s="3">
        <v>44032</v>
      </c>
    </row>
    <row r="766" spans="1:29" x14ac:dyDescent="0.3">
      <c r="A766" s="2" t="str">
        <f>HYPERLINK("https://www.cadth.ca/node/120579", "Tecentriq &amp; Avastin")</f>
        <v>Tecentriq &amp; Avastin</v>
      </c>
      <c r="B766" t="s">
        <v>2385</v>
      </c>
      <c r="C766" t="s">
        <v>1420</v>
      </c>
      <c r="D766" t="s">
        <v>55</v>
      </c>
      <c r="E766" t="s">
        <v>40</v>
      </c>
      <c r="F766" s="3">
        <v>43972</v>
      </c>
      <c r="G766" s="3">
        <v>44152</v>
      </c>
      <c r="H766" t="s">
        <v>2390</v>
      </c>
      <c r="I766" t="s">
        <v>33</v>
      </c>
      <c r="J766" t="s">
        <v>2391</v>
      </c>
      <c r="K766" t="s">
        <v>58</v>
      </c>
      <c r="L766" t="s">
        <v>2392</v>
      </c>
      <c r="M766" t="s">
        <v>60</v>
      </c>
      <c r="N766" s="3">
        <v>44050</v>
      </c>
      <c r="O766" t="s">
        <v>80</v>
      </c>
      <c r="P766" t="s">
        <v>80</v>
      </c>
      <c r="Q766" s="3"/>
      <c r="R766" s="3"/>
      <c r="S766" s="3">
        <v>43986</v>
      </c>
      <c r="V766" s="3">
        <v>43986</v>
      </c>
      <c r="W766" s="3">
        <v>44049</v>
      </c>
      <c r="X766" s="3">
        <v>44119</v>
      </c>
      <c r="Y766" s="3">
        <v>44133</v>
      </c>
      <c r="Z766" s="3">
        <v>44147</v>
      </c>
      <c r="AA766" s="3"/>
      <c r="AB766" s="3">
        <v>44167</v>
      </c>
    </row>
    <row r="767" spans="1:29" x14ac:dyDescent="0.3">
      <c r="A767" s="2" t="str">
        <f>HYPERLINK("https://www.cadth.ca/dimethyl-fumarate", "Tecfidera")</f>
        <v>Tecfidera</v>
      </c>
      <c r="B767" t="s">
        <v>2393</v>
      </c>
      <c r="C767" t="s">
        <v>304</v>
      </c>
      <c r="D767" t="s">
        <v>50</v>
      </c>
      <c r="E767" t="s">
        <v>40</v>
      </c>
      <c r="F767" s="3">
        <v>41309</v>
      </c>
      <c r="G767" s="3">
        <v>41542</v>
      </c>
      <c r="H767" t="s">
        <v>2394</v>
      </c>
      <c r="I767" t="s">
        <v>33</v>
      </c>
      <c r="N767" s="3"/>
      <c r="O767" t="s">
        <v>254</v>
      </c>
      <c r="Q767" s="3"/>
      <c r="R767" s="3"/>
      <c r="S767" s="3"/>
      <c r="T767" t="s">
        <v>36</v>
      </c>
      <c r="V767" s="3"/>
      <c r="W767" s="3"/>
      <c r="X767" s="3"/>
      <c r="Y767" s="3"/>
      <c r="Z767" s="3"/>
      <c r="AA767" s="3"/>
      <c r="AB767" s="3"/>
    </row>
    <row r="768" spans="1:29" x14ac:dyDescent="0.3">
      <c r="A768" s="2" t="str">
        <f>HYPERLINK("https://www.cadth.ca/ombitasvir-paritaprevir-ritonavir", "Technivie")</f>
        <v>Technivie</v>
      </c>
      <c r="B768" t="s">
        <v>2395</v>
      </c>
      <c r="C768" t="s">
        <v>825</v>
      </c>
      <c r="D768" t="s">
        <v>46</v>
      </c>
      <c r="E768" t="s">
        <v>40</v>
      </c>
      <c r="F768" s="3">
        <v>42251</v>
      </c>
      <c r="G768" s="3">
        <v>42447</v>
      </c>
      <c r="H768" t="s">
        <v>2396</v>
      </c>
      <c r="I768" t="s">
        <v>33</v>
      </c>
      <c r="N768" s="3"/>
      <c r="O768" t="s">
        <v>725</v>
      </c>
      <c r="Q768" s="3"/>
      <c r="R768" s="3"/>
      <c r="S768" s="3"/>
      <c r="T768" t="s">
        <v>36</v>
      </c>
      <c r="V768" s="3"/>
      <c r="W768" s="3"/>
      <c r="X768" s="3"/>
      <c r="Y768" s="3"/>
      <c r="Z768" s="3"/>
      <c r="AA768" s="3"/>
      <c r="AB768" s="3"/>
    </row>
    <row r="769" spans="1:29" x14ac:dyDescent="0.3">
      <c r="A769" s="2" t="str">
        <f>HYPERLINK("https://www.cadth.ca/inotersen", "Tegsedi")</f>
        <v>Tegsedi</v>
      </c>
      <c r="B769" t="s">
        <v>2397</v>
      </c>
      <c r="C769" t="s">
        <v>2398</v>
      </c>
      <c r="D769" t="s">
        <v>55</v>
      </c>
      <c r="E769" t="s">
        <v>40</v>
      </c>
      <c r="F769" s="3">
        <v>43518</v>
      </c>
      <c r="G769" s="3">
        <v>43817</v>
      </c>
      <c r="H769" t="s">
        <v>2399</v>
      </c>
      <c r="I769" t="s">
        <v>33</v>
      </c>
      <c r="N769" s="3"/>
      <c r="O769" t="s">
        <v>2400</v>
      </c>
      <c r="Q769" s="3"/>
      <c r="R769" s="3"/>
      <c r="S769" s="3"/>
      <c r="T769" t="s">
        <v>36</v>
      </c>
      <c r="V769" s="3"/>
      <c r="W769" s="3"/>
      <c r="X769" s="3"/>
      <c r="Y769" s="3"/>
      <c r="Z769" s="3"/>
      <c r="AA769" s="3"/>
      <c r="AB769" s="3"/>
    </row>
    <row r="770" spans="1:29" x14ac:dyDescent="0.3">
      <c r="A770" s="2" t="str">
        <f>HYPERLINK("https://www.cadth.ca/fosamprenavir-calcium", "Telzir")</f>
        <v>Telzir</v>
      </c>
      <c r="B770" t="s">
        <v>2401</v>
      </c>
      <c r="C770" t="s">
        <v>273</v>
      </c>
      <c r="D770" t="s">
        <v>262</v>
      </c>
      <c r="E770" t="s">
        <v>40</v>
      </c>
      <c r="F770" s="3">
        <v>38376</v>
      </c>
      <c r="G770" s="3">
        <v>38519</v>
      </c>
      <c r="H770" t="s">
        <v>2402</v>
      </c>
      <c r="I770" t="s">
        <v>33</v>
      </c>
      <c r="N770" s="3"/>
      <c r="O770" t="s">
        <v>259</v>
      </c>
      <c r="Q770" s="3"/>
      <c r="R770" s="3"/>
      <c r="S770" s="3"/>
      <c r="T770" t="s">
        <v>36</v>
      </c>
      <c r="V770" s="3"/>
      <c r="W770" s="3"/>
      <c r="X770" s="3"/>
      <c r="Y770" s="3"/>
      <c r="Z770" s="3"/>
      <c r="AA770" s="3"/>
      <c r="AB770" s="3"/>
    </row>
    <row r="771" spans="1:29" x14ac:dyDescent="0.3">
      <c r="A771" s="2" t="str">
        <f>HYPERLINK("https://www.cadth.ca/tepotinib", "Tepmetko")</f>
        <v>Tepmetko</v>
      </c>
      <c r="B771" t="s">
        <v>2403</v>
      </c>
      <c r="C771" t="s">
        <v>2404</v>
      </c>
      <c r="E771" t="s">
        <v>31</v>
      </c>
      <c r="F771" s="3">
        <v>44438</v>
      </c>
      <c r="G771" s="3"/>
      <c r="H771" t="s">
        <v>2405</v>
      </c>
      <c r="I771" t="s">
        <v>33</v>
      </c>
      <c r="K771" t="s">
        <v>205</v>
      </c>
      <c r="N771" s="3"/>
      <c r="O771" t="s">
        <v>2406</v>
      </c>
      <c r="Q771" s="3"/>
      <c r="R771" s="3"/>
      <c r="S771" s="3"/>
      <c r="T771" t="s">
        <v>36</v>
      </c>
      <c r="V771" s="3"/>
      <c r="W771" s="3"/>
      <c r="X771" s="3"/>
      <c r="Y771" s="3"/>
      <c r="Z771" s="3"/>
      <c r="AA771" s="3"/>
      <c r="AB771" s="3"/>
    </row>
    <row r="772" spans="1:29" x14ac:dyDescent="0.3">
      <c r="A772" s="2" t="str">
        <f>HYPERLINK("https://www.cadth.ca/eprosartan-mesylate-hydrochlorothiazide", "Teveten Plus")</f>
        <v>Teveten Plus</v>
      </c>
      <c r="B772" t="s">
        <v>2407</v>
      </c>
      <c r="C772" t="s">
        <v>2408</v>
      </c>
      <c r="D772" t="s">
        <v>262</v>
      </c>
      <c r="E772" t="s">
        <v>40</v>
      </c>
      <c r="F772" s="3">
        <v>38176</v>
      </c>
      <c r="G772" s="3">
        <v>38336</v>
      </c>
      <c r="H772" t="s">
        <v>2409</v>
      </c>
      <c r="I772" t="s">
        <v>33</v>
      </c>
      <c r="N772" s="3"/>
      <c r="O772" t="s">
        <v>722</v>
      </c>
      <c r="Q772" s="3"/>
      <c r="R772" s="3"/>
      <c r="S772" s="3"/>
      <c r="T772" t="s">
        <v>36</v>
      </c>
      <c r="V772" s="3"/>
      <c r="W772" s="3"/>
      <c r="X772" s="3"/>
      <c r="Y772" s="3"/>
      <c r="Z772" s="3"/>
      <c r="AA772" s="3"/>
      <c r="AB772" s="3"/>
    </row>
    <row r="773" spans="1:29" x14ac:dyDescent="0.3">
      <c r="A773" s="2" t="str">
        <f>HYPERLINK("https://www.cadth.ca/sitaxsentan-sodium-0", "Thelin")</f>
        <v>Thelin</v>
      </c>
      <c r="B773" t="s">
        <v>2410</v>
      </c>
      <c r="C773" t="s">
        <v>2018</v>
      </c>
      <c r="D773" t="s">
        <v>39</v>
      </c>
      <c r="E773" t="s">
        <v>40</v>
      </c>
      <c r="F773" s="3">
        <v>39573</v>
      </c>
      <c r="G773" s="3">
        <v>39841</v>
      </c>
      <c r="H773" t="s">
        <v>2411</v>
      </c>
      <c r="I773" t="s">
        <v>33</v>
      </c>
      <c r="N773" s="3"/>
      <c r="O773" t="s">
        <v>2412</v>
      </c>
      <c r="Q773" s="3"/>
      <c r="R773" s="3"/>
      <c r="S773" s="3"/>
      <c r="T773" t="s">
        <v>142</v>
      </c>
      <c r="V773" s="3"/>
      <c r="W773" s="3"/>
      <c r="X773" s="3"/>
      <c r="Y773" s="3"/>
      <c r="Z773" s="3"/>
      <c r="AA773" s="3"/>
      <c r="AB773" s="3"/>
    </row>
    <row r="774" spans="1:29" x14ac:dyDescent="0.3">
      <c r="A774" s="2" t="str">
        <f>HYPERLINK("https://www.cadth.ca/sitaxsentan-sodium", "Thelin")</f>
        <v>Thelin</v>
      </c>
      <c r="B774" t="s">
        <v>2410</v>
      </c>
      <c r="C774" t="s">
        <v>2018</v>
      </c>
      <c r="D774" t="s">
        <v>39</v>
      </c>
      <c r="E774" t="s">
        <v>40</v>
      </c>
      <c r="F774" s="3">
        <v>39255</v>
      </c>
      <c r="G774" s="3">
        <v>39477</v>
      </c>
      <c r="H774" t="s">
        <v>2413</v>
      </c>
      <c r="I774" t="s">
        <v>33</v>
      </c>
      <c r="N774" s="3"/>
      <c r="O774" t="s">
        <v>2412</v>
      </c>
      <c r="Q774" s="3"/>
      <c r="R774" s="3"/>
      <c r="S774" s="3"/>
      <c r="T774" t="s">
        <v>36</v>
      </c>
      <c r="V774" s="3"/>
      <c r="W774" s="3"/>
      <c r="X774" s="3"/>
      <c r="Y774" s="3"/>
      <c r="Z774" s="3"/>
      <c r="AA774" s="3"/>
      <c r="AB774" s="3"/>
    </row>
    <row r="775" spans="1:29" x14ac:dyDescent="0.3">
      <c r="A775" s="2" t="str">
        <f>HYPERLINK("https://www.cadth.ca/dolutegravir", "Tivicay")</f>
        <v>Tivicay</v>
      </c>
      <c r="B775" t="s">
        <v>2414</v>
      </c>
      <c r="C775" t="s">
        <v>273</v>
      </c>
      <c r="D775" t="s">
        <v>160</v>
      </c>
      <c r="E775" t="s">
        <v>40</v>
      </c>
      <c r="F775" s="3">
        <v>41565</v>
      </c>
      <c r="G775" s="3">
        <v>41869</v>
      </c>
      <c r="H775" t="s">
        <v>2415</v>
      </c>
      <c r="I775" t="s">
        <v>33</v>
      </c>
      <c r="N775" s="3"/>
      <c r="O775" t="s">
        <v>1252</v>
      </c>
      <c r="Q775" s="3"/>
      <c r="R775" s="3"/>
      <c r="S775" s="3"/>
      <c r="T775" t="s">
        <v>36</v>
      </c>
      <c r="V775" s="3"/>
      <c r="W775" s="3"/>
      <c r="X775" s="3"/>
      <c r="Y775" s="3"/>
      <c r="Z775" s="3"/>
      <c r="AA775" s="3"/>
      <c r="AB775" s="3"/>
    </row>
    <row r="776" spans="1:29" x14ac:dyDescent="0.3">
      <c r="A776" s="2" t="str">
        <f>HYPERLINK("https://www.cadth.ca/alitretinoin", "Toctino")</f>
        <v>Toctino</v>
      </c>
      <c r="B776" t="s">
        <v>2416</v>
      </c>
      <c r="C776" t="s">
        <v>2417</v>
      </c>
      <c r="D776" t="s">
        <v>46</v>
      </c>
      <c r="E776" t="s">
        <v>40</v>
      </c>
      <c r="F776" s="3">
        <v>40669</v>
      </c>
      <c r="G776" s="3">
        <v>40840</v>
      </c>
      <c r="H776" t="s">
        <v>2418</v>
      </c>
      <c r="I776" t="s">
        <v>33</v>
      </c>
      <c r="N776" s="3"/>
      <c r="O776" t="s">
        <v>2419</v>
      </c>
      <c r="Q776" s="3"/>
      <c r="R776" s="3"/>
      <c r="S776" s="3"/>
      <c r="T776" t="s">
        <v>36</v>
      </c>
      <c r="V776" s="3"/>
      <c r="W776" s="3"/>
      <c r="X776" s="3"/>
      <c r="Y776" s="3"/>
      <c r="Z776" s="3"/>
      <c r="AA776" s="3"/>
      <c r="AB776" s="3"/>
    </row>
    <row r="777" spans="1:29" x14ac:dyDescent="0.3">
      <c r="A777" s="2" t="str">
        <f>HYPERLINK("https://www.cadth.ca/fesoterodine-fumarate", "Toviaz")</f>
        <v>Toviaz</v>
      </c>
      <c r="B777" t="s">
        <v>2420</v>
      </c>
      <c r="C777" t="s">
        <v>975</v>
      </c>
      <c r="D777" t="s">
        <v>1703</v>
      </c>
      <c r="E777" t="s">
        <v>40</v>
      </c>
      <c r="F777" s="3">
        <v>41026</v>
      </c>
      <c r="G777" s="3">
        <v>41200</v>
      </c>
      <c r="H777" t="s">
        <v>2421</v>
      </c>
      <c r="I777" t="s">
        <v>33</v>
      </c>
      <c r="N777" s="3"/>
      <c r="O777" t="s">
        <v>2422</v>
      </c>
      <c r="Q777" s="3"/>
      <c r="R777" s="3"/>
      <c r="S777" s="3"/>
      <c r="T777" t="s">
        <v>36</v>
      </c>
      <c r="V777" s="3"/>
      <c r="W777" s="3"/>
      <c r="X777" s="3"/>
      <c r="Y777" s="3"/>
      <c r="Z777" s="3"/>
      <c r="AA777" s="3"/>
      <c r="AB777" s="3"/>
    </row>
    <row r="778" spans="1:29" x14ac:dyDescent="0.3">
      <c r="A778" s="2" t="str">
        <f>HYPERLINK("https://www.cadth.ca/linagliptin", "Trajenta")</f>
        <v>Trajenta</v>
      </c>
      <c r="B778" t="s">
        <v>2423</v>
      </c>
      <c r="C778" t="s">
        <v>496</v>
      </c>
      <c r="D778" t="s">
        <v>46</v>
      </c>
      <c r="E778" t="s">
        <v>40</v>
      </c>
      <c r="F778" s="3">
        <v>40778</v>
      </c>
      <c r="G778" s="3">
        <v>40954</v>
      </c>
      <c r="H778" t="s">
        <v>2424</v>
      </c>
      <c r="I778" t="s">
        <v>33</v>
      </c>
      <c r="N778" s="3"/>
      <c r="O778" t="s">
        <v>2425</v>
      </c>
      <c r="Q778" s="3"/>
      <c r="R778" s="3"/>
      <c r="S778" s="3"/>
      <c r="T778" t="s">
        <v>36</v>
      </c>
      <c r="V778" s="3"/>
      <c r="W778" s="3"/>
      <c r="X778" s="3"/>
      <c r="Y778" s="3"/>
      <c r="Z778" s="3"/>
      <c r="AA778" s="3"/>
      <c r="AB778" s="3"/>
    </row>
    <row r="779" spans="1:29" x14ac:dyDescent="0.3">
      <c r="A779" s="2" t="str">
        <f>HYPERLINK("https://www.cadth.ca/tramadol-hydrochloride-acetaminophen", "Tramacet")</f>
        <v>Tramacet</v>
      </c>
      <c r="B779" t="s">
        <v>2426</v>
      </c>
      <c r="C779" t="s">
        <v>2427</v>
      </c>
      <c r="D779" t="s">
        <v>39</v>
      </c>
      <c r="E779" t="s">
        <v>40</v>
      </c>
      <c r="F779" s="3">
        <v>38992</v>
      </c>
      <c r="G779" s="3">
        <v>39219</v>
      </c>
      <c r="H779" t="s">
        <v>2428</v>
      </c>
      <c r="I779" t="s">
        <v>33</v>
      </c>
      <c r="N779" s="3"/>
      <c r="O779" t="s">
        <v>334</v>
      </c>
      <c r="Q779" s="3"/>
      <c r="R779" s="3"/>
      <c r="S779" s="3"/>
      <c r="T779" t="s">
        <v>36</v>
      </c>
      <c r="V779" s="3"/>
      <c r="W779" s="3"/>
      <c r="X779" s="3"/>
      <c r="Y779" s="3"/>
      <c r="Z779" s="3"/>
      <c r="AA779" s="3"/>
      <c r="AB779" s="3"/>
    </row>
    <row r="780" spans="1:29" x14ac:dyDescent="0.3">
      <c r="A780" s="2" t="str">
        <f>HYPERLINK("https://www.cadth.ca/ataluren", "Translarna")</f>
        <v>Translarna</v>
      </c>
      <c r="B780" t="s">
        <v>2429</v>
      </c>
      <c r="E780" t="s">
        <v>154</v>
      </c>
      <c r="F780" s="3"/>
      <c r="G780" s="3"/>
      <c r="H780" t="s">
        <v>2430</v>
      </c>
      <c r="I780" t="s">
        <v>33</v>
      </c>
      <c r="N780" s="3"/>
      <c r="O780" t="s">
        <v>2431</v>
      </c>
      <c r="Q780" s="3"/>
      <c r="R780" s="3"/>
      <c r="S780" s="3"/>
      <c r="T780" t="s">
        <v>157</v>
      </c>
      <c r="V780" s="3"/>
      <c r="W780" s="3"/>
      <c r="X780" s="3"/>
      <c r="Y780" s="3"/>
      <c r="Z780" s="3"/>
      <c r="AA780" s="3"/>
      <c r="AB780" s="3"/>
    </row>
    <row r="781" spans="1:29" x14ac:dyDescent="0.3">
      <c r="A781" s="2" t="str">
        <f>HYPERLINK("https://www.cadth.ca/node/79675", "Treanda")</f>
        <v>Treanda</v>
      </c>
      <c r="B781" t="s">
        <v>2432</v>
      </c>
      <c r="C781" t="s">
        <v>2433</v>
      </c>
      <c r="D781" t="s">
        <v>55</v>
      </c>
      <c r="E781" t="s">
        <v>40</v>
      </c>
      <c r="F781" s="3">
        <v>41023</v>
      </c>
      <c r="G781" s="3">
        <v>41324</v>
      </c>
      <c r="H781" t="s">
        <v>2434</v>
      </c>
      <c r="I781" t="s">
        <v>33</v>
      </c>
      <c r="J781" t="s">
        <v>2435</v>
      </c>
      <c r="K781" t="s">
        <v>284</v>
      </c>
      <c r="L781" t="s">
        <v>2436</v>
      </c>
      <c r="M781" t="s">
        <v>60</v>
      </c>
      <c r="N781" s="3">
        <v>41145</v>
      </c>
      <c r="O781" t="s">
        <v>568</v>
      </c>
      <c r="P781" t="s">
        <v>568</v>
      </c>
      <c r="Q781" s="3"/>
      <c r="R781" s="3"/>
      <c r="S781" s="3">
        <v>41030</v>
      </c>
      <c r="U781" t="s">
        <v>62</v>
      </c>
      <c r="V781" s="3">
        <v>41037</v>
      </c>
      <c r="W781" s="3">
        <v>41087</v>
      </c>
      <c r="X781" s="3">
        <v>41291</v>
      </c>
      <c r="Y781" s="3">
        <v>41305</v>
      </c>
      <c r="Z781" s="3">
        <v>41319</v>
      </c>
      <c r="AA781" s="3"/>
      <c r="AB781" s="3">
        <v>41339</v>
      </c>
      <c r="AC781" t="s">
        <v>428</v>
      </c>
    </row>
    <row r="782" spans="1:29" x14ac:dyDescent="0.3">
      <c r="A782" s="2" t="str">
        <f>HYPERLINK("https://www.cadth.ca/node/79676", "Treanda")</f>
        <v>Treanda</v>
      </c>
      <c r="B782" t="s">
        <v>2432</v>
      </c>
      <c r="C782" t="s">
        <v>2437</v>
      </c>
      <c r="D782" t="s">
        <v>109</v>
      </c>
      <c r="E782" t="s">
        <v>40</v>
      </c>
      <c r="F782" s="3">
        <v>41023</v>
      </c>
      <c r="G782" s="3">
        <v>41242</v>
      </c>
      <c r="H782" t="s">
        <v>2438</v>
      </c>
      <c r="I782" t="s">
        <v>33</v>
      </c>
      <c r="J782" t="s">
        <v>2439</v>
      </c>
      <c r="K782" t="s">
        <v>96</v>
      </c>
      <c r="L782" t="s">
        <v>2440</v>
      </c>
      <c r="M782" t="s">
        <v>60</v>
      </c>
      <c r="N782" s="3">
        <v>41145</v>
      </c>
      <c r="O782" t="s">
        <v>568</v>
      </c>
      <c r="P782" t="s">
        <v>568</v>
      </c>
      <c r="Q782" s="3"/>
      <c r="R782" s="3"/>
      <c r="S782" s="3">
        <v>41030</v>
      </c>
      <c r="U782" t="s">
        <v>62</v>
      </c>
      <c r="V782" s="3">
        <v>41037</v>
      </c>
      <c r="W782" s="3">
        <v>41087</v>
      </c>
      <c r="X782" s="3">
        <v>41172</v>
      </c>
      <c r="Y782" s="3">
        <v>41186</v>
      </c>
      <c r="Z782" s="3">
        <v>41201</v>
      </c>
      <c r="AA782" s="3"/>
      <c r="AB782" s="3">
        <v>41257</v>
      </c>
    </row>
    <row r="783" spans="1:29" x14ac:dyDescent="0.3">
      <c r="A783" s="2" t="str">
        <f>HYPERLINK("https://www.cadth.ca/node/79674", "Treanda")</f>
        <v>Treanda</v>
      </c>
      <c r="B783" t="s">
        <v>2432</v>
      </c>
      <c r="C783" t="s">
        <v>2441</v>
      </c>
      <c r="D783" t="s">
        <v>127</v>
      </c>
      <c r="E783" t="s">
        <v>40</v>
      </c>
      <c r="F783" s="3">
        <v>41023</v>
      </c>
      <c r="G783" s="3">
        <v>41242</v>
      </c>
      <c r="H783" t="s">
        <v>2434</v>
      </c>
      <c r="I783" t="s">
        <v>33</v>
      </c>
      <c r="J783" t="s">
        <v>2435</v>
      </c>
      <c r="K783" t="s">
        <v>284</v>
      </c>
      <c r="L783" t="s">
        <v>2442</v>
      </c>
      <c r="M783" t="s">
        <v>60</v>
      </c>
      <c r="N783" s="3">
        <v>41145</v>
      </c>
      <c r="O783" t="s">
        <v>568</v>
      </c>
      <c r="P783" t="s">
        <v>568</v>
      </c>
      <c r="Q783" s="3"/>
      <c r="R783" s="3"/>
      <c r="S783" s="3">
        <v>41030</v>
      </c>
      <c r="U783" t="s">
        <v>62</v>
      </c>
      <c r="V783" s="3">
        <v>41037</v>
      </c>
      <c r="W783" s="3">
        <v>41087</v>
      </c>
      <c r="X783" s="3">
        <v>41172</v>
      </c>
      <c r="Y783" s="3">
        <v>41186</v>
      </c>
      <c r="Z783" s="3">
        <v>41201</v>
      </c>
      <c r="AA783" s="3"/>
      <c r="AB783" s="3">
        <v>41257</v>
      </c>
      <c r="AC783" t="s">
        <v>2443</v>
      </c>
    </row>
    <row r="784" spans="1:29" x14ac:dyDescent="0.3">
      <c r="A784" s="2" t="str">
        <f>HYPERLINK("https://www.cadth.ca/node/79673", "Treanda (in combination with rituximab)")</f>
        <v>Treanda (in combination with rituximab)</v>
      </c>
      <c r="B784" t="s">
        <v>2432</v>
      </c>
      <c r="C784" t="s">
        <v>281</v>
      </c>
      <c r="E784" t="s">
        <v>113</v>
      </c>
      <c r="F784" s="3">
        <v>41817</v>
      </c>
      <c r="G784" s="3"/>
      <c r="H784" t="s">
        <v>2444</v>
      </c>
      <c r="I784" t="s">
        <v>33</v>
      </c>
      <c r="J784" t="s">
        <v>2435</v>
      </c>
      <c r="K784" t="s">
        <v>284</v>
      </c>
      <c r="L784" t="s">
        <v>2445</v>
      </c>
      <c r="M784" t="s">
        <v>60</v>
      </c>
      <c r="N784" s="3"/>
      <c r="O784" t="s">
        <v>568</v>
      </c>
      <c r="P784" t="s">
        <v>568</v>
      </c>
      <c r="Q784" s="3"/>
      <c r="R784" s="3"/>
      <c r="S784" s="3">
        <v>41850</v>
      </c>
      <c r="U784" t="s">
        <v>62</v>
      </c>
      <c r="V784" s="3">
        <v>41834</v>
      </c>
      <c r="W784" s="3"/>
      <c r="X784" s="3"/>
      <c r="Y784" s="3"/>
      <c r="Z784" s="3"/>
      <c r="AA784" s="3"/>
      <c r="AB784" s="3"/>
      <c r="AC784" t="s">
        <v>2446</v>
      </c>
    </row>
    <row r="785" spans="1:28" x14ac:dyDescent="0.3">
      <c r="A785" s="2" t="str">
        <f>HYPERLINK("https://www.cadth.ca/fluticasone-furoateumeclidiniumvilanterol", "Trelegy Ellipta")</f>
        <v>Trelegy Ellipta</v>
      </c>
      <c r="B785" t="s">
        <v>2447</v>
      </c>
      <c r="C785" t="s">
        <v>2448</v>
      </c>
      <c r="D785" t="s">
        <v>55</v>
      </c>
      <c r="E785" t="s">
        <v>40</v>
      </c>
      <c r="F785" s="3">
        <v>43160</v>
      </c>
      <c r="G785" s="3">
        <v>43335</v>
      </c>
      <c r="H785" t="s">
        <v>2449</v>
      </c>
      <c r="I785" t="s">
        <v>33</v>
      </c>
      <c r="N785" s="3"/>
      <c r="O785" t="s">
        <v>259</v>
      </c>
      <c r="Q785" s="3"/>
      <c r="R785" s="3"/>
      <c r="S785" s="3"/>
      <c r="T785" t="s">
        <v>36</v>
      </c>
      <c r="V785" s="3"/>
      <c r="W785" s="3"/>
      <c r="X785" s="3"/>
      <c r="Y785" s="3"/>
      <c r="Z785" s="3"/>
      <c r="AA785" s="3"/>
      <c r="AB785" s="3"/>
    </row>
    <row r="786" spans="1:28" x14ac:dyDescent="0.3">
      <c r="A786" s="2" t="str">
        <f>HYPERLINK("https://www.cadth.ca/triptorelin-pamoate", "Trelstar")</f>
        <v>Trelstar</v>
      </c>
      <c r="B786" t="s">
        <v>2450</v>
      </c>
      <c r="C786" t="s">
        <v>2451</v>
      </c>
      <c r="D786" t="s">
        <v>262</v>
      </c>
      <c r="E786" t="s">
        <v>40</v>
      </c>
      <c r="F786" s="3">
        <v>38775</v>
      </c>
      <c r="G786" s="3">
        <v>38918</v>
      </c>
      <c r="H786" t="s">
        <v>2452</v>
      </c>
      <c r="I786" t="s">
        <v>33</v>
      </c>
      <c r="N786" s="3"/>
      <c r="O786" t="s">
        <v>2453</v>
      </c>
      <c r="Q786" s="3"/>
      <c r="R786" s="3"/>
      <c r="S786" s="3"/>
      <c r="T786" t="s">
        <v>36</v>
      </c>
      <c r="V786" s="3"/>
      <c r="W786" s="3"/>
      <c r="X786" s="3"/>
      <c r="Y786" s="3"/>
      <c r="Z786" s="3"/>
      <c r="AA786" s="3"/>
      <c r="AB786" s="3"/>
    </row>
    <row r="787" spans="1:28" x14ac:dyDescent="0.3">
      <c r="A787" s="2" t="str">
        <f>HYPERLINK("https://www.cadth.ca/guselkumab", "Tremfya")</f>
        <v>Tremfya</v>
      </c>
      <c r="B787" t="s">
        <v>2454</v>
      </c>
      <c r="C787" t="s">
        <v>558</v>
      </c>
      <c r="D787" t="s">
        <v>55</v>
      </c>
      <c r="E787" t="s">
        <v>40</v>
      </c>
      <c r="F787" s="3">
        <v>42972</v>
      </c>
      <c r="G787" s="3">
        <v>43152</v>
      </c>
      <c r="H787" t="s">
        <v>2455</v>
      </c>
      <c r="I787" t="s">
        <v>33</v>
      </c>
      <c r="N787" s="3"/>
      <c r="O787" t="s">
        <v>665</v>
      </c>
      <c r="Q787" s="3"/>
      <c r="R787" s="3"/>
      <c r="S787" s="3"/>
      <c r="T787" t="s">
        <v>36</v>
      </c>
      <c r="V787" s="3"/>
      <c r="W787" s="3"/>
      <c r="X787" s="3"/>
      <c r="Y787" s="3"/>
      <c r="Z787" s="3"/>
      <c r="AA787" s="3"/>
      <c r="AB787" s="3"/>
    </row>
    <row r="788" spans="1:28" x14ac:dyDescent="0.3">
      <c r="A788" s="2" t="str">
        <f>HYPERLINK("https://www.cadth.ca/insulin-degludec", "Tresiba")</f>
        <v>Tresiba</v>
      </c>
      <c r="B788" t="s">
        <v>2456</v>
      </c>
      <c r="C788" t="s">
        <v>1388</v>
      </c>
      <c r="D788" t="s">
        <v>55</v>
      </c>
      <c r="E788" t="s">
        <v>40</v>
      </c>
      <c r="F788" s="3">
        <v>42886</v>
      </c>
      <c r="G788" s="3">
        <v>43059</v>
      </c>
      <c r="H788" t="s">
        <v>2457</v>
      </c>
      <c r="I788" t="s">
        <v>33</v>
      </c>
      <c r="N788" s="3"/>
      <c r="O788" t="s">
        <v>1433</v>
      </c>
      <c r="Q788" s="3"/>
      <c r="R788" s="3"/>
      <c r="S788" s="3"/>
      <c r="T788" t="s">
        <v>36</v>
      </c>
      <c r="V788" s="3"/>
      <c r="W788" s="3"/>
      <c r="X788" s="3"/>
      <c r="Y788" s="3"/>
      <c r="Z788" s="3"/>
      <c r="AA788" s="3"/>
      <c r="AB788" s="3"/>
    </row>
    <row r="789" spans="1:28" x14ac:dyDescent="0.3">
      <c r="A789" s="2" t="str">
        <f>HYPERLINK("https://www.cadth.ca/tramadol-hydrochloride-2", "Tridural")</f>
        <v>Tridural</v>
      </c>
      <c r="B789" t="s">
        <v>1952</v>
      </c>
      <c r="C789" t="s">
        <v>1953</v>
      </c>
      <c r="D789" t="s">
        <v>39</v>
      </c>
      <c r="E789" t="s">
        <v>40</v>
      </c>
      <c r="F789" s="3">
        <v>39415</v>
      </c>
      <c r="G789" s="3">
        <v>39555</v>
      </c>
      <c r="H789" t="s">
        <v>2458</v>
      </c>
      <c r="I789" t="s">
        <v>33</v>
      </c>
      <c r="N789" s="3"/>
      <c r="O789" t="s">
        <v>2459</v>
      </c>
      <c r="Q789" s="3"/>
      <c r="R789" s="3"/>
      <c r="S789" s="3"/>
      <c r="T789" t="s">
        <v>36</v>
      </c>
      <c r="V789" s="3"/>
      <c r="W789" s="3"/>
      <c r="X789" s="3"/>
      <c r="Y789" s="3"/>
      <c r="Z789" s="3"/>
      <c r="AA789" s="3"/>
      <c r="AB789" s="3"/>
    </row>
    <row r="790" spans="1:28" x14ac:dyDescent="0.3">
      <c r="A790" s="2" t="str">
        <f>HYPERLINK("https://www.cadth.ca/elexacaftor-tezacaftor-ivacaftor-and-ivacaftor", "Trikafta")</f>
        <v>Trikafta</v>
      </c>
      <c r="B790" t="s">
        <v>2460</v>
      </c>
      <c r="C790" t="s">
        <v>2461</v>
      </c>
      <c r="D790" t="s">
        <v>55</v>
      </c>
      <c r="E790" t="s">
        <v>31</v>
      </c>
      <c r="F790" s="3">
        <v>44218</v>
      </c>
      <c r="G790" s="3">
        <v>44455</v>
      </c>
      <c r="H790" t="s">
        <v>2462</v>
      </c>
      <c r="I790" t="s">
        <v>33</v>
      </c>
      <c r="N790" s="3"/>
      <c r="O790" t="s">
        <v>1279</v>
      </c>
      <c r="Q790" s="3"/>
      <c r="R790" s="3"/>
      <c r="S790" s="3"/>
      <c r="T790" t="s">
        <v>36</v>
      </c>
      <c r="V790" s="3"/>
      <c r="W790" s="3"/>
      <c r="X790" s="3"/>
      <c r="Y790" s="3"/>
      <c r="Z790" s="3"/>
      <c r="AA790" s="3"/>
      <c r="AB790" s="3"/>
    </row>
    <row r="791" spans="1:28" x14ac:dyDescent="0.3">
      <c r="A791" s="2" t="str">
        <f>HYPERLINK("https://www.cadth.ca/vortioxetine-hydrobromide", "Trintellix")</f>
        <v>Trintellix</v>
      </c>
      <c r="B791" t="s">
        <v>2463</v>
      </c>
      <c r="C791" t="s">
        <v>2464</v>
      </c>
      <c r="D791" t="s">
        <v>55</v>
      </c>
      <c r="E791" t="s">
        <v>40</v>
      </c>
      <c r="F791" s="3">
        <v>43586</v>
      </c>
      <c r="G791" s="3">
        <v>43873</v>
      </c>
      <c r="H791" t="s">
        <v>2465</v>
      </c>
      <c r="I791" t="s">
        <v>33</v>
      </c>
      <c r="N791" s="3"/>
      <c r="O791" t="s">
        <v>568</v>
      </c>
      <c r="Q791" s="3"/>
      <c r="R791" s="3"/>
      <c r="S791" s="3"/>
      <c r="T791" t="s">
        <v>36</v>
      </c>
      <c r="V791" s="3"/>
      <c r="W791" s="3"/>
      <c r="X791" s="3"/>
      <c r="Y791" s="3"/>
      <c r="Z791" s="3"/>
      <c r="AA791" s="3"/>
      <c r="AB791" s="3"/>
    </row>
    <row r="792" spans="1:28" x14ac:dyDescent="0.3">
      <c r="A792" s="2" t="str">
        <f>HYPERLINK("https://www.cadth.ca/vortioxetine", "Trintellix")</f>
        <v>Trintellix</v>
      </c>
      <c r="B792" t="s">
        <v>2466</v>
      </c>
      <c r="C792" t="s">
        <v>2467</v>
      </c>
      <c r="E792" t="s">
        <v>113</v>
      </c>
      <c r="F792" s="3">
        <v>41943</v>
      </c>
      <c r="G792" s="3"/>
      <c r="H792" t="s">
        <v>2468</v>
      </c>
      <c r="I792" t="s">
        <v>33</v>
      </c>
      <c r="N792" s="3"/>
      <c r="O792" t="s">
        <v>568</v>
      </c>
      <c r="Q792" s="3"/>
      <c r="R792" s="3"/>
      <c r="S792" s="3"/>
      <c r="T792" t="s">
        <v>36</v>
      </c>
      <c r="V792" s="3"/>
      <c r="W792" s="3"/>
      <c r="X792" s="3"/>
      <c r="Y792" s="3"/>
      <c r="Z792" s="3"/>
      <c r="AA792" s="3"/>
      <c r="AB792" s="3"/>
    </row>
    <row r="793" spans="1:28" x14ac:dyDescent="0.3">
      <c r="A793" s="2" t="str">
        <f>HYPERLINK("https://www.cadth.ca/node/79677", "Trisenox")</f>
        <v>Trisenox</v>
      </c>
      <c r="B793" t="s">
        <v>2469</v>
      </c>
      <c r="C793" t="s">
        <v>2470</v>
      </c>
      <c r="D793" t="s">
        <v>109</v>
      </c>
      <c r="E793" t="s">
        <v>40</v>
      </c>
      <c r="F793" s="3">
        <v>41516</v>
      </c>
      <c r="G793" s="3">
        <v>41688</v>
      </c>
      <c r="H793" t="s">
        <v>2471</v>
      </c>
      <c r="I793" t="s">
        <v>33</v>
      </c>
      <c r="J793" t="s">
        <v>2472</v>
      </c>
      <c r="K793" t="s">
        <v>284</v>
      </c>
      <c r="L793" t="s">
        <v>2473</v>
      </c>
      <c r="N793" s="3">
        <v>41432</v>
      </c>
      <c r="O793" t="s">
        <v>568</v>
      </c>
      <c r="P793" t="s">
        <v>568</v>
      </c>
      <c r="Q793" s="3"/>
      <c r="R793" s="3"/>
      <c r="S793" s="3">
        <v>41526</v>
      </c>
      <c r="U793" t="s">
        <v>99</v>
      </c>
      <c r="V793" s="3">
        <v>41533</v>
      </c>
      <c r="W793" s="3">
        <v>41590</v>
      </c>
      <c r="X793" s="3">
        <v>41655</v>
      </c>
      <c r="Y793" s="3">
        <v>41669</v>
      </c>
      <c r="Z793" s="3">
        <v>41683</v>
      </c>
      <c r="AA793" s="3"/>
      <c r="AB793" s="3">
        <v>41703</v>
      </c>
    </row>
    <row r="794" spans="1:28" x14ac:dyDescent="0.3">
      <c r="A794" s="2" t="str">
        <f>HYPERLINK("https://www.cadth.ca/dolutegravir-abacavir-lamivudine", "Triumeq")</f>
        <v>Triumeq</v>
      </c>
      <c r="B794" t="s">
        <v>2474</v>
      </c>
      <c r="C794" t="s">
        <v>1909</v>
      </c>
      <c r="D794" t="s">
        <v>50</v>
      </c>
      <c r="E794" t="s">
        <v>40</v>
      </c>
      <c r="F794" s="3">
        <v>41851</v>
      </c>
      <c r="G794" s="3">
        <v>42111</v>
      </c>
      <c r="H794" t="s">
        <v>2475</v>
      </c>
      <c r="I794" t="s">
        <v>33</v>
      </c>
      <c r="N794" s="3"/>
      <c r="O794" t="s">
        <v>715</v>
      </c>
      <c r="Q794" s="3"/>
      <c r="R794" s="3"/>
      <c r="S794" s="3"/>
      <c r="T794" t="s">
        <v>36</v>
      </c>
      <c r="V794" s="3"/>
      <c r="W794" s="3"/>
      <c r="X794" s="3"/>
      <c r="Y794" s="3"/>
      <c r="Z794" s="3"/>
      <c r="AA794" s="3"/>
      <c r="AB794" s="3"/>
    </row>
    <row r="795" spans="1:28" x14ac:dyDescent="0.3">
      <c r="A795" s="2" t="str">
        <f>HYPERLINK("https://www.cadth.ca/trospium-chloride", "Trosec")</f>
        <v>Trosec</v>
      </c>
      <c r="B795" t="s">
        <v>2476</v>
      </c>
      <c r="C795" t="s">
        <v>796</v>
      </c>
      <c r="D795" t="s">
        <v>46</v>
      </c>
      <c r="E795" t="s">
        <v>40</v>
      </c>
      <c r="F795" s="3">
        <v>38800</v>
      </c>
      <c r="G795" s="3">
        <v>38953</v>
      </c>
      <c r="H795" t="s">
        <v>2477</v>
      </c>
      <c r="I795" t="s">
        <v>33</v>
      </c>
      <c r="N795" s="3"/>
      <c r="O795" t="s">
        <v>162</v>
      </c>
      <c r="Q795" s="3"/>
      <c r="R795" s="3"/>
      <c r="S795" s="3"/>
      <c r="T795" t="s">
        <v>36</v>
      </c>
      <c r="V795" s="3"/>
      <c r="W795" s="3"/>
      <c r="X795" s="3"/>
      <c r="Y795" s="3"/>
      <c r="Z795" s="3"/>
      <c r="AA795" s="3"/>
      <c r="AB795" s="3"/>
    </row>
    <row r="796" spans="1:28" x14ac:dyDescent="0.3">
      <c r="A796" s="2" t="str">
        <f>HYPERLINK("https://www.cadth.ca/dulaglutide", "Trulicity")</f>
        <v>Trulicity</v>
      </c>
      <c r="B796" t="s">
        <v>2478</v>
      </c>
      <c r="C796" t="s">
        <v>150</v>
      </c>
      <c r="D796" t="s">
        <v>55</v>
      </c>
      <c r="E796" t="s">
        <v>40</v>
      </c>
      <c r="F796" s="3">
        <v>42360</v>
      </c>
      <c r="G796" s="3">
        <v>42537</v>
      </c>
      <c r="H796" t="s">
        <v>2479</v>
      </c>
      <c r="I796" t="s">
        <v>33</v>
      </c>
      <c r="N796" s="3"/>
      <c r="O796" t="s">
        <v>133</v>
      </c>
      <c r="Q796" s="3"/>
      <c r="R796" s="3"/>
      <c r="S796" s="3"/>
      <c r="T796" t="s">
        <v>36</v>
      </c>
      <c r="V796" s="3"/>
      <c r="W796" s="3"/>
      <c r="X796" s="3"/>
      <c r="Y796" s="3"/>
      <c r="Z796" s="3"/>
      <c r="AA796" s="3"/>
      <c r="AB796" s="3"/>
    </row>
    <row r="797" spans="1:28" x14ac:dyDescent="0.3">
      <c r="A797" s="2" t="str">
        <f>HYPERLINK("https://www.cadth.ca/emtricitabinetenofovir-disoproxil-fumarate-1", "Truvada")</f>
        <v>Truvada</v>
      </c>
      <c r="B797" t="s">
        <v>2480</v>
      </c>
      <c r="C797" t="s">
        <v>2481</v>
      </c>
      <c r="D797" t="s">
        <v>55</v>
      </c>
      <c r="E797" t="s">
        <v>40</v>
      </c>
      <c r="F797" s="3">
        <v>42432</v>
      </c>
      <c r="G797" s="3">
        <v>42606</v>
      </c>
      <c r="H797" t="s">
        <v>2482</v>
      </c>
      <c r="I797" t="s">
        <v>33</v>
      </c>
      <c r="N797" s="3"/>
      <c r="O797" t="s">
        <v>539</v>
      </c>
      <c r="Q797" s="3"/>
      <c r="R797" s="3"/>
      <c r="S797" s="3"/>
      <c r="T797" t="s">
        <v>36</v>
      </c>
      <c r="V797" s="3"/>
      <c r="W797" s="3"/>
      <c r="X797" s="3"/>
      <c r="Y797" s="3"/>
      <c r="Z797" s="3"/>
      <c r="AA797" s="3"/>
      <c r="AB797" s="3"/>
    </row>
    <row r="798" spans="1:28" x14ac:dyDescent="0.3">
      <c r="A798" s="2" t="str">
        <f>HYPERLINK("https://www.cadth.ca/emtricitabinetenofovir-disoproxil-fumarate", "Truvada")</f>
        <v>Truvada</v>
      </c>
      <c r="B798" t="s">
        <v>2480</v>
      </c>
      <c r="C798" t="s">
        <v>273</v>
      </c>
      <c r="D798" t="s">
        <v>46</v>
      </c>
      <c r="E798" t="s">
        <v>40</v>
      </c>
      <c r="F798" s="3">
        <v>38866</v>
      </c>
      <c r="G798" s="3">
        <v>39015</v>
      </c>
      <c r="H798" t="s">
        <v>2483</v>
      </c>
      <c r="I798" t="s">
        <v>33</v>
      </c>
      <c r="N798" s="3"/>
      <c r="O798" t="s">
        <v>539</v>
      </c>
      <c r="Q798" s="3"/>
      <c r="R798" s="3"/>
      <c r="S798" s="3"/>
      <c r="T798" t="s">
        <v>36</v>
      </c>
      <c r="V798" s="3"/>
      <c r="W798" s="3"/>
      <c r="X798" s="3"/>
      <c r="Y798" s="3"/>
      <c r="Z798" s="3"/>
      <c r="AA798" s="3"/>
      <c r="AB798" s="3"/>
    </row>
    <row r="799" spans="1:28" x14ac:dyDescent="0.3">
      <c r="A799" s="2" t="str">
        <f>HYPERLINK("https://www.cadth.ca/emtricitabinetenofovir-disoproxil-fumarate-0", "Truvada")</f>
        <v>Truvada</v>
      </c>
      <c r="B799" t="s">
        <v>2480</v>
      </c>
      <c r="C799" t="s">
        <v>273</v>
      </c>
      <c r="D799" t="s">
        <v>46</v>
      </c>
      <c r="E799" t="s">
        <v>40</v>
      </c>
      <c r="F799" s="3">
        <v>39636</v>
      </c>
      <c r="G799" s="3">
        <v>39799</v>
      </c>
      <c r="H799" t="s">
        <v>2484</v>
      </c>
      <c r="I799" t="s">
        <v>33</v>
      </c>
      <c r="N799" s="3"/>
      <c r="O799" t="s">
        <v>539</v>
      </c>
      <c r="Q799" s="3"/>
      <c r="R799" s="3"/>
      <c r="S799" s="3"/>
      <c r="T799" t="s">
        <v>49</v>
      </c>
      <c r="V799" s="3"/>
      <c r="W799" s="3"/>
      <c r="X799" s="3"/>
      <c r="Y799" s="3"/>
      <c r="Z799" s="3"/>
      <c r="AA799" s="3"/>
      <c r="AB799" s="3"/>
    </row>
    <row r="800" spans="1:28" x14ac:dyDescent="0.3">
      <c r="A800" s="2" t="str">
        <f>HYPERLINK("https://www.cadth.ca/node/114761", "Truxima")</f>
        <v>Truxima</v>
      </c>
      <c r="B800" t="s">
        <v>2060</v>
      </c>
      <c r="E800" t="s">
        <v>154</v>
      </c>
      <c r="F800" s="3"/>
      <c r="G800" s="3"/>
      <c r="H800" t="s">
        <v>2485</v>
      </c>
      <c r="I800" t="s">
        <v>33</v>
      </c>
      <c r="J800" t="s">
        <v>643</v>
      </c>
      <c r="K800" t="s">
        <v>2355</v>
      </c>
      <c r="L800" t="s">
        <v>2486</v>
      </c>
      <c r="N800" s="3">
        <v>43559</v>
      </c>
      <c r="O800" t="s">
        <v>192</v>
      </c>
      <c r="P800" t="s">
        <v>192</v>
      </c>
      <c r="Q800" s="3">
        <v>43607</v>
      </c>
      <c r="R800" s="3"/>
      <c r="S800" s="3"/>
      <c r="V800" s="3"/>
      <c r="W800" s="3"/>
      <c r="X800" s="3"/>
      <c r="Y800" s="3"/>
      <c r="Z800" s="3"/>
      <c r="AA800" s="3"/>
      <c r="AB800" s="3"/>
    </row>
    <row r="801" spans="1:28" x14ac:dyDescent="0.3">
      <c r="A801" s="2" t="str">
        <f>HYPERLINK("https://www.cadth.ca/aclidinium-bromide", "Tudorza Genuair")</f>
        <v>Tudorza Genuair</v>
      </c>
      <c r="B801" t="s">
        <v>2487</v>
      </c>
      <c r="C801" t="s">
        <v>2488</v>
      </c>
      <c r="D801" t="s">
        <v>50</v>
      </c>
      <c r="E801" t="s">
        <v>40</v>
      </c>
      <c r="F801" s="3">
        <v>41507</v>
      </c>
      <c r="G801" s="3">
        <v>41750</v>
      </c>
      <c r="H801" t="s">
        <v>2489</v>
      </c>
      <c r="I801" t="s">
        <v>33</v>
      </c>
      <c r="N801" s="3"/>
      <c r="O801" t="s">
        <v>2490</v>
      </c>
      <c r="Q801" s="3"/>
      <c r="R801" s="3"/>
      <c r="S801" s="3"/>
      <c r="T801" t="s">
        <v>36</v>
      </c>
      <c r="V801" s="3"/>
      <c r="W801" s="3"/>
      <c r="X801" s="3"/>
      <c r="Y801" s="3"/>
      <c r="Z801" s="3"/>
      <c r="AA801" s="3"/>
      <c r="AB801" s="3"/>
    </row>
    <row r="802" spans="1:28" x14ac:dyDescent="0.3">
      <c r="A802" s="2" t="str">
        <f>HYPERLINK("https://www.cadth.ca/tucatinib", "Tukysa")</f>
        <v>Tukysa</v>
      </c>
      <c r="B802" t="s">
        <v>2491</v>
      </c>
      <c r="C802" t="s">
        <v>1266</v>
      </c>
      <c r="E802" t="s">
        <v>31</v>
      </c>
      <c r="F802" s="3">
        <v>44281</v>
      </c>
      <c r="G802" s="3"/>
      <c r="H802" t="s">
        <v>2492</v>
      </c>
      <c r="I802" t="s">
        <v>33</v>
      </c>
      <c r="K802" t="s">
        <v>177</v>
      </c>
      <c r="N802" s="3"/>
      <c r="O802" t="s">
        <v>2322</v>
      </c>
      <c r="Q802" s="3"/>
      <c r="R802" s="3"/>
      <c r="S802" s="3"/>
      <c r="T802" t="s">
        <v>36</v>
      </c>
      <c r="V802" s="3"/>
      <c r="W802" s="3"/>
      <c r="X802" s="3"/>
      <c r="Y802" s="3"/>
      <c r="Z802" s="3"/>
      <c r="AA802" s="3"/>
      <c r="AB802" s="3"/>
    </row>
    <row r="803" spans="1:28" x14ac:dyDescent="0.3">
      <c r="A803" s="2" t="str">
        <f>HYPERLINK("https://www.cadth.ca/telmisartan-amlodipine-0", "Twynsta")</f>
        <v>Twynsta</v>
      </c>
      <c r="B803" t="s">
        <v>2493</v>
      </c>
      <c r="C803" t="s">
        <v>231</v>
      </c>
      <c r="D803" t="s">
        <v>160</v>
      </c>
      <c r="E803" t="s">
        <v>40</v>
      </c>
      <c r="F803" s="3">
        <v>40778</v>
      </c>
      <c r="G803" s="3">
        <v>40893</v>
      </c>
      <c r="H803" t="s">
        <v>2494</v>
      </c>
      <c r="I803" t="s">
        <v>33</v>
      </c>
      <c r="N803" s="3"/>
      <c r="O803" t="s">
        <v>2425</v>
      </c>
      <c r="Q803" s="3"/>
      <c r="R803" s="3"/>
      <c r="S803" s="3"/>
      <c r="T803" t="s">
        <v>36</v>
      </c>
      <c r="V803" s="3"/>
      <c r="W803" s="3"/>
      <c r="X803" s="3"/>
      <c r="Y803" s="3"/>
      <c r="Z803" s="3"/>
      <c r="AA803" s="3"/>
      <c r="AB803" s="3"/>
    </row>
    <row r="804" spans="1:28" x14ac:dyDescent="0.3">
      <c r="A804" s="2" t="str">
        <f>HYPERLINK("https://www.cadth.ca/telmisartan-amlodipine", "Twynsta")</f>
        <v>Twynsta</v>
      </c>
      <c r="B804" t="s">
        <v>2495</v>
      </c>
      <c r="C804" t="s">
        <v>231</v>
      </c>
      <c r="E804" t="s">
        <v>154</v>
      </c>
      <c r="F804" s="3">
        <v>40368</v>
      </c>
      <c r="G804" s="3"/>
      <c r="H804" t="s">
        <v>2496</v>
      </c>
      <c r="I804" t="s">
        <v>33</v>
      </c>
      <c r="N804" s="3"/>
      <c r="O804" t="s">
        <v>1895</v>
      </c>
      <c r="Q804" s="3"/>
      <c r="R804" s="3"/>
      <c r="S804" s="3"/>
      <c r="T804" t="s">
        <v>36</v>
      </c>
      <c r="V804" s="3"/>
      <c r="W804" s="3"/>
      <c r="X804" s="3"/>
      <c r="Y804" s="3"/>
      <c r="Z804" s="3"/>
      <c r="AA804" s="3"/>
      <c r="AB804" s="3"/>
    </row>
    <row r="805" spans="1:28" x14ac:dyDescent="0.3">
      <c r="A805" s="2" t="str">
        <f>HYPERLINK("https://www.cadth.ca/node/79678", "Tykerb (in combination with Letrozole)")</f>
        <v>Tykerb (in combination with Letrozole)</v>
      </c>
      <c r="B805" t="s">
        <v>2497</v>
      </c>
      <c r="C805" t="s">
        <v>1016</v>
      </c>
      <c r="D805" t="s">
        <v>127</v>
      </c>
      <c r="E805" t="s">
        <v>40</v>
      </c>
      <c r="F805" s="3">
        <v>41257</v>
      </c>
      <c r="G805" s="3">
        <v>41460</v>
      </c>
      <c r="H805" t="s">
        <v>2498</v>
      </c>
      <c r="I805" t="s">
        <v>33</v>
      </c>
      <c r="J805" t="s">
        <v>2499</v>
      </c>
      <c r="K805" t="s">
        <v>177</v>
      </c>
      <c r="L805" t="s">
        <v>2500</v>
      </c>
      <c r="N805" s="3">
        <v>40451</v>
      </c>
      <c r="O805" t="s">
        <v>455</v>
      </c>
      <c r="P805" t="s">
        <v>455</v>
      </c>
      <c r="Q805" s="3"/>
      <c r="R805" s="3"/>
      <c r="S805" s="3">
        <v>41264</v>
      </c>
      <c r="U805" t="s">
        <v>62</v>
      </c>
      <c r="V805" s="3">
        <v>41282</v>
      </c>
      <c r="W805" s="3">
        <v>41324</v>
      </c>
      <c r="X805" s="3">
        <v>41382</v>
      </c>
      <c r="Y805" s="3">
        <v>41396</v>
      </c>
      <c r="Z805" s="3">
        <v>41410</v>
      </c>
      <c r="AA805" s="3"/>
      <c r="AB805" s="3">
        <v>41477</v>
      </c>
    </row>
    <row r="806" spans="1:28" x14ac:dyDescent="0.3">
      <c r="A806" s="2" t="str">
        <f>HYPERLINK("https://www.cadth.ca/natalizumab-1", "Tysabri")</f>
        <v>Tysabri</v>
      </c>
      <c r="B806" t="s">
        <v>2501</v>
      </c>
      <c r="C806" t="s">
        <v>988</v>
      </c>
      <c r="E806" t="s">
        <v>1340</v>
      </c>
      <c r="F806" s="3">
        <v>44307</v>
      </c>
      <c r="G806" s="3"/>
      <c r="H806" t="s">
        <v>2502</v>
      </c>
      <c r="I806" t="s">
        <v>33</v>
      </c>
      <c r="N806" s="3"/>
      <c r="O806" t="s">
        <v>2503</v>
      </c>
      <c r="Q806" s="3"/>
      <c r="R806" s="3"/>
      <c r="S806" s="3"/>
      <c r="T806" t="s">
        <v>36</v>
      </c>
      <c r="V806" s="3"/>
      <c r="W806" s="3"/>
      <c r="X806" s="3"/>
      <c r="Y806" s="3"/>
      <c r="Z806" s="3"/>
      <c r="AA806" s="3"/>
      <c r="AB806" s="3"/>
    </row>
    <row r="807" spans="1:28" x14ac:dyDescent="0.3">
      <c r="A807" s="2" t="str">
        <f>HYPERLINK("https://www.cadth.ca/natalizumab-0", "Tysabri")</f>
        <v>Tysabri</v>
      </c>
      <c r="B807" t="s">
        <v>2504</v>
      </c>
      <c r="C807" t="s">
        <v>988</v>
      </c>
      <c r="D807" t="s">
        <v>46</v>
      </c>
      <c r="E807" t="s">
        <v>40</v>
      </c>
      <c r="F807" s="3">
        <v>39574</v>
      </c>
      <c r="G807" s="3">
        <v>39869</v>
      </c>
      <c r="H807" t="s">
        <v>2505</v>
      </c>
      <c r="I807" t="s">
        <v>33</v>
      </c>
      <c r="N807" s="3"/>
      <c r="O807" t="s">
        <v>254</v>
      </c>
      <c r="Q807" s="3"/>
      <c r="R807" s="3"/>
      <c r="S807" s="3"/>
      <c r="T807" t="s">
        <v>142</v>
      </c>
      <c r="V807" s="3"/>
      <c r="W807" s="3"/>
      <c r="X807" s="3"/>
      <c r="Y807" s="3"/>
      <c r="Z807" s="3"/>
      <c r="AA807" s="3"/>
      <c r="AB807" s="3"/>
    </row>
    <row r="808" spans="1:28" x14ac:dyDescent="0.3">
      <c r="A808" s="2" t="str">
        <f>HYPERLINK("https://www.cadth.ca/natalizumab", "Tysabri")</f>
        <v>Tysabri</v>
      </c>
      <c r="B808" t="s">
        <v>2504</v>
      </c>
      <c r="C808" t="s">
        <v>988</v>
      </c>
      <c r="D808" t="s">
        <v>39</v>
      </c>
      <c r="E808" t="s">
        <v>40</v>
      </c>
      <c r="F808" s="3">
        <v>39016</v>
      </c>
      <c r="G808" s="3">
        <v>39198</v>
      </c>
      <c r="H808" t="s">
        <v>2506</v>
      </c>
      <c r="I808" t="s">
        <v>33</v>
      </c>
      <c r="N808" s="3"/>
      <c r="O808" t="s">
        <v>254</v>
      </c>
      <c r="Q808" s="3"/>
      <c r="R808" s="3"/>
      <c r="S808" s="3"/>
      <c r="T808" t="s">
        <v>36</v>
      </c>
      <c r="V808" s="3"/>
      <c r="W808" s="3"/>
      <c r="X808" s="3"/>
      <c r="Y808" s="3"/>
      <c r="Z808" s="3"/>
      <c r="AA808" s="3"/>
      <c r="AB808" s="3"/>
    </row>
    <row r="809" spans="1:28" x14ac:dyDescent="0.3">
      <c r="A809" s="2" t="str">
        <f>HYPERLINK("https://www.cadth.ca/febuxostat", "Uloric")</f>
        <v>Uloric</v>
      </c>
      <c r="B809" t="s">
        <v>2507</v>
      </c>
      <c r="C809" t="s">
        <v>2508</v>
      </c>
      <c r="D809" t="s">
        <v>46</v>
      </c>
      <c r="E809" t="s">
        <v>40</v>
      </c>
      <c r="F809" s="3">
        <v>40478</v>
      </c>
      <c r="G809" s="3">
        <v>40658</v>
      </c>
      <c r="H809" t="s">
        <v>2509</v>
      </c>
      <c r="I809" t="s">
        <v>33</v>
      </c>
      <c r="N809" s="3"/>
      <c r="O809" t="s">
        <v>243</v>
      </c>
      <c r="Q809" s="3"/>
      <c r="R809" s="3"/>
      <c r="S809" s="3"/>
      <c r="T809" t="s">
        <v>36</v>
      </c>
      <c r="V809" s="3"/>
      <c r="W809" s="3"/>
      <c r="X809" s="3"/>
      <c r="Y809" s="3"/>
      <c r="Z809" s="3"/>
      <c r="AA809" s="3"/>
      <c r="AB809" s="3"/>
    </row>
    <row r="810" spans="1:28" x14ac:dyDescent="0.3">
      <c r="A810" s="2" t="str">
        <f>HYPERLINK("https://www.cadth.ca/indacaterolglycopyrronium", "Ultibro Breezhaler")</f>
        <v>Ultibro Breezhaler</v>
      </c>
      <c r="B810" t="s">
        <v>2510</v>
      </c>
      <c r="C810" t="s">
        <v>257</v>
      </c>
      <c r="D810" t="s">
        <v>50</v>
      </c>
      <c r="E810" t="s">
        <v>40</v>
      </c>
      <c r="F810" s="3">
        <v>41673</v>
      </c>
      <c r="G810" s="3">
        <v>41992</v>
      </c>
      <c r="H810" t="s">
        <v>2511</v>
      </c>
      <c r="I810" t="s">
        <v>33</v>
      </c>
      <c r="N810" s="3"/>
      <c r="O810" t="s">
        <v>71</v>
      </c>
      <c r="Q810" s="3"/>
      <c r="R810" s="3"/>
      <c r="S810" s="3"/>
      <c r="T810" t="s">
        <v>36</v>
      </c>
      <c r="V810" s="3"/>
      <c r="W810" s="3"/>
      <c r="X810" s="3"/>
      <c r="Y810" s="3"/>
      <c r="Z810" s="3"/>
      <c r="AA810" s="3"/>
      <c r="AB810" s="3"/>
    </row>
    <row r="811" spans="1:28" x14ac:dyDescent="0.3">
      <c r="A811" s="2" t="str">
        <f>HYPERLINK("https://www.cadth.ca/ravulizumab-0", "Ultomiris")</f>
        <v>Ultomiris</v>
      </c>
      <c r="B811" t="s">
        <v>2313</v>
      </c>
      <c r="C811" t="s">
        <v>2512</v>
      </c>
      <c r="E811" t="s">
        <v>31</v>
      </c>
      <c r="F811" s="3">
        <v>44399</v>
      </c>
      <c r="G811" s="3"/>
      <c r="H811" t="s">
        <v>2513</v>
      </c>
      <c r="I811" t="s">
        <v>33</v>
      </c>
      <c r="K811" t="s">
        <v>391</v>
      </c>
      <c r="N811" s="3"/>
      <c r="O811" t="s">
        <v>2151</v>
      </c>
      <c r="Q811" s="3"/>
      <c r="R811" s="3"/>
      <c r="S811" s="3"/>
      <c r="T811" t="s">
        <v>36</v>
      </c>
      <c r="V811" s="3"/>
      <c r="W811" s="3"/>
      <c r="X811" s="3"/>
      <c r="Y811" s="3"/>
      <c r="Z811" s="3"/>
      <c r="AA811" s="3"/>
      <c r="AB811" s="3"/>
    </row>
    <row r="812" spans="1:28" x14ac:dyDescent="0.3">
      <c r="A812" s="2" t="str">
        <f>HYPERLINK("https://www.cadth.ca/node/110628", "Unituxin")</f>
        <v>Unituxin</v>
      </c>
      <c r="B812" t="s">
        <v>2514</v>
      </c>
      <c r="C812" t="s">
        <v>2515</v>
      </c>
      <c r="D812" t="s">
        <v>55</v>
      </c>
      <c r="E812" t="s">
        <v>40</v>
      </c>
      <c r="F812" s="3">
        <v>43374</v>
      </c>
      <c r="G812" s="3">
        <v>43550</v>
      </c>
      <c r="H812" t="s">
        <v>2516</v>
      </c>
      <c r="I812" t="s">
        <v>33</v>
      </c>
      <c r="J812" t="s">
        <v>2517</v>
      </c>
      <c r="K812" t="s">
        <v>2518</v>
      </c>
      <c r="L812" t="s">
        <v>2519</v>
      </c>
      <c r="M812" t="s">
        <v>60</v>
      </c>
      <c r="N812" s="3">
        <v>43432</v>
      </c>
      <c r="O812" t="s">
        <v>2520</v>
      </c>
      <c r="P812" t="s">
        <v>2520</v>
      </c>
      <c r="Q812" s="3"/>
      <c r="R812" s="3"/>
      <c r="S812" s="3">
        <v>43389</v>
      </c>
      <c r="V812" s="3">
        <v>43389</v>
      </c>
      <c r="W812" s="3">
        <v>43433</v>
      </c>
      <c r="X812" s="3">
        <v>43517</v>
      </c>
      <c r="Y812" s="3">
        <v>43531</v>
      </c>
      <c r="Z812" s="3">
        <v>43545</v>
      </c>
      <c r="AA812" s="3"/>
      <c r="AB812" s="3">
        <v>43565</v>
      </c>
    </row>
    <row r="813" spans="1:28" x14ac:dyDescent="0.3">
      <c r="A813" s="2" t="str">
        <f>HYPERLINK("https://www.cadth.ca/dinutuximab", "Unituxin")</f>
        <v>Unituxin</v>
      </c>
      <c r="B813" t="s">
        <v>2521</v>
      </c>
      <c r="C813" t="s">
        <v>2515</v>
      </c>
      <c r="D813" t="s">
        <v>55</v>
      </c>
      <c r="E813" t="s">
        <v>2522</v>
      </c>
      <c r="F813" s="3">
        <v>44158</v>
      </c>
      <c r="G813" s="3">
        <v>44400</v>
      </c>
      <c r="H813" t="s">
        <v>2523</v>
      </c>
      <c r="I813" t="s">
        <v>33</v>
      </c>
      <c r="K813" t="s">
        <v>2518</v>
      </c>
      <c r="N813" s="3"/>
      <c r="O813" t="s">
        <v>2520</v>
      </c>
      <c r="Q813" s="3"/>
      <c r="R813" s="3"/>
      <c r="S813" s="3"/>
      <c r="T813" t="s">
        <v>36</v>
      </c>
      <c r="V813" s="3"/>
      <c r="W813" s="3"/>
      <c r="X813" s="3"/>
      <c r="Y813" s="3"/>
      <c r="Z813" s="3"/>
      <c r="AA813" s="3"/>
      <c r="AB813" s="3"/>
    </row>
    <row r="814" spans="1:28" x14ac:dyDescent="0.3">
      <c r="A814" s="2" t="str">
        <f>HYPERLINK("https://www.cadth.ca/selexipag", "Uptravi")</f>
        <v>Uptravi</v>
      </c>
      <c r="B814" t="s">
        <v>2524</v>
      </c>
      <c r="C814" t="s">
        <v>2018</v>
      </c>
      <c r="D814" t="s">
        <v>55</v>
      </c>
      <c r="E814" t="s">
        <v>40</v>
      </c>
      <c r="F814" s="3">
        <v>42460</v>
      </c>
      <c r="G814" s="3">
        <v>42671</v>
      </c>
      <c r="H814" t="s">
        <v>2525</v>
      </c>
      <c r="I814" t="s">
        <v>33</v>
      </c>
      <c r="N814" s="3"/>
      <c r="O814" t="s">
        <v>1783</v>
      </c>
      <c r="Q814" s="3"/>
      <c r="R814" s="3"/>
      <c r="S814" s="3"/>
      <c r="T814" t="s">
        <v>36</v>
      </c>
      <c r="V814" s="3"/>
      <c r="W814" s="3"/>
      <c r="X814" s="3"/>
      <c r="Y814" s="3"/>
      <c r="Z814" s="3"/>
      <c r="AA814" s="3"/>
      <c r="AB814" s="3"/>
    </row>
    <row r="815" spans="1:28" x14ac:dyDescent="0.3">
      <c r="A815" s="2" t="str">
        <f>HYPERLINK("https://www.cadth.ca/histrelin-acetate", "Vantas")</f>
        <v>Vantas</v>
      </c>
      <c r="B815" t="s">
        <v>2526</v>
      </c>
      <c r="C815" t="s">
        <v>2451</v>
      </c>
      <c r="D815" t="s">
        <v>39</v>
      </c>
      <c r="E815" t="s">
        <v>40</v>
      </c>
      <c r="F815" s="3">
        <v>38980</v>
      </c>
      <c r="G815" s="3">
        <v>39198</v>
      </c>
      <c r="H815" t="s">
        <v>2527</v>
      </c>
      <c r="I815" t="s">
        <v>33</v>
      </c>
      <c r="N815" s="3"/>
      <c r="O815" t="s">
        <v>67</v>
      </c>
      <c r="Q815" s="3"/>
      <c r="R815" s="3"/>
      <c r="S815" s="3"/>
      <c r="T815" t="s">
        <v>36</v>
      </c>
      <c r="V815" s="3"/>
      <c r="W815" s="3"/>
      <c r="X815" s="3"/>
      <c r="Y815" s="3"/>
      <c r="Z815" s="3"/>
      <c r="AA815" s="3"/>
      <c r="AB815" s="3"/>
    </row>
    <row r="816" spans="1:28" x14ac:dyDescent="0.3">
      <c r="A816" s="2" t="str">
        <f>HYPERLINK("https://www.cadth.ca/icosapent-ethyl", "Vascepa")</f>
        <v>Vascepa</v>
      </c>
      <c r="B816" t="s">
        <v>2528</v>
      </c>
      <c r="C816" t="s">
        <v>2529</v>
      </c>
      <c r="D816" t="s">
        <v>55</v>
      </c>
      <c r="E816" t="s">
        <v>40</v>
      </c>
      <c r="F816" s="3">
        <v>43633</v>
      </c>
      <c r="G816" s="3">
        <v>44028</v>
      </c>
      <c r="H816" t="s">
        <v>2530</v>
      </c>
      <c r="I816" t="s">
        <v>33</v>
      </c>
      <c r="N816" s="3"/>
      <c r="O816" t="s">
        <v>2531</v>
      </c>
      <c r="Q816" s="3"/>
      <c r="R816" s="3"/>
      <c r="S816" s="3"/>
      <c r="T816" t="s">
        <v>36</v>
      </c>
      <c r="V816" s="3"/>
      <c r="W816" s="3"/>
      <c r="X816" s="3"/>
      <c r="Y816" s="3"/>
      <c r="Z816" s="3"/>
      <c r="AA816" s="3"/>
      <c r="AB816" s="3"/>
    </row>
    <row r="817" spans="1:29" x14ac:dyDescent="0.3">
      <c r="A817" s="2" t="str">
        <f>HYPERLINK("https://www.cadth.ca/node/104239", "Vectibix")</f>
        <v>Vectibix</v>
      </c>
      <c r="B817" t="s">
        <v>2532</v>
      </c>
      <c r="C817" t="s">
        <v>2533</v>
      </c>
      <c r="D817" t="s">
        <v>127</v>
      </c>
      <c r="E817" t="s">
        <v>40</v>
      </c>
      <c r="F817" s="3">
        <v>42986</v>
      </c>
      <c r="G817" s="3">
        <v>43188</v>
      </c>
      <c r="H817" t="s">
        <v>2534</v>
      </c>
      <c r="I817" t="s">
        <v>33</v>
      </c>
      <c r="J817" t="s">
        <v>361</v>
      </c>
      <c r="K817" t="s">
        <v>58</v>
      </c>
      <c r="L817" t="s">
        <v>2535</v>
      </c>
      <c r="N817" s="3">
        <v>42247</v>
      </c>
      <c r="O817" t="s">
        <v>407</v>
      </c>
      <c r="P817" t="s">
        <v>407</v>
      </c>
      <c r="Q817" s="3"/>
      <c r="R817" s="3"/>
      <c r="S817" s="3">
        <v>42993</v>
      </c>
      <c r="U817" t="s">
        <v>62</v>
      </c>
      <c r="V817" s="3">
        <v>43000</v>
      </c>
      <c r="W817" s="3">
        <v>43038</v>
      </c>
      <c r="X817" s="3">
        <v>43118</v>
      </c>
      <c r="Y817" s="3">
        <v>43132</v>
      </c>
      <c r="Z817" s="3">
        <v>43146</v>
      </c>
      <c r="AA817" s="3"/>
      <c r="AB817" s="3">
        <v>43206</v>
      </c>
    </row>
    <row r="818" spans="1:29" x14ac:dyDescent="0.3">
      <c r="A818" s="2" t="str">
        <f>HYPERLINK("https://www.cadth.ca/node/88555", "Vectibix")</f>
        <v>Vectibix</v>
      </c>
      <c r="B818" t="s">
        <v>2532</v>
      </c>
      <c r="C818" t="s">
        <v>324</v>
      </c>
      <c r="D818" t="s">
        <v>55</v>
      </c>
      <c r="E818" t="s">
        <v>40</v>
      </c>
      <c r="F818" s="3">
        <v>42109</v>
      </c>
      <c r="G818" s="3">
        <v>42341</v>
      </c>
      <c r="H818" t="s">
        <v>2536</v>
      </c>
      <c r="I818" t="s">
        <v>33</v>
      </c>
      <c r="J818" t="s">
        <v>2537</v>
      </c>
      <c r="K818" t="s">
        <v>58</v>
      </c>
      <c r="L818" t="s">
        <v>2538</v>
      </c>
      <c r="M818" t="s">
        <v>60</v>
      </c>
      <c r="N818" s="3">
        <v>42247</v>
      </c>
      <c r="O818" t="s">
        <v>407</v>
      </c>
      <c r="P818" t="s">
        <v>407</v>
      </c>
      <c r="Q818" s="3"/>
      <c r="R818" s="3"/>
      <c r="S818" s="3">
        <v>42116</v>
      </c>
      <c r="U818" t="s">
        <v>62</v>
      </c>
      <c r="V818" s="3">
        <v>42123</v>
      </c>
      <c r="W818" s="3">
        <v>42191</v>
      </c>
      <c r="X818" s="3">
        <v>42264</v>
      </c>
      <c r="Y818" s="3">
        <v>42278</v>
      </c>
      <c r="Z818" s="3">
        <v>42293</v>
      </c>
      <c r="AA818" s="3"/>
      <c r="AB818" s="3">
        <v>42356</v>
      </c>
    </row>
    <row r="819" spans="1:29" x14ac:dyDescent="0.3">
      <c r="A819" s="2" t="str">
        <f>HYPERLINK("https://www.cadth.ca/node/79679", "Velcade")</f>
        <v>Velcade</v>
      </c>
      <c r="B819" t="s">
        <v>2539</v>
      </c>
      <c r="C819" t="s">
        <v>663</v>
      </c>
      <c r="D819" t="s">
        <v>109</v>
      </c>
      <c r="E819" t="s">
        <v>40</v>
      </c>
      <c r="F819" s="3">
        <v>41211</v>
      </c>
      <c r="G819" s="3">
        <v>41358</v>
      </c>
      <c r="H819" t="s">
        <v>2540</v>
      </c>
      <c r="I819" t="s">
        <v>33</v>
      </c>
      <c r="J819" t="s">
        <v>2541</v>
      </c>
      <c r="K819" t="s">
        <v>34</v>
      </c>
      <c r="L819" t="s">
        <v>2542</v>
      </c>
      <c r="M819" t="s">
        <v>60</v>
      </c>
      <c r="N819" s="3"/>
      <c r="O819" t="s">
        <v>2543</v>
      </c>
      <c r="P819" t="s">
        <v>2544</v>
      </c>
      <c r="Q819" s="3"/>
      <c r="R819" s="3"/>
      <c r="S819" s="3">
        <v>41218</v>
      </c>
      <c r="U819" t="s">
        <v>62</v>
      </c>
      <c r="V819" s="3">
        <v>41226</v>
      </c>
      <c r="W819" s="3">
        <v>41261</v>
      </c>
      <c r="X819" s="3">
        <v>41326</v>
      </c>
      <c r="Y819" s="3">
        <v>41340</v>
      </c>
      <c r="Z819" s="3">
        <v>41354</v>
      </c>
      <c r="AA819" s="3"/>
      <c r="AB819" s="3">
        <v>41375</v>
      </c>
    </row>
    <row r="820" spans="1:29" x14ac:dyDescent="0.3">
      <c r="A820" s="2" t="str">
        <f>HYPERLINK("https://www.cadth.ca/sucroferric-oxyhydroxide", "Velphoro")</f>
        <v>Velphoro</v>
      </c>
      <c r="B820" t="s">
        <v>2545</v>
      </c>
      <c r="C820" t="s">
        <v>946</v>
      </c>
      <c r="D820" t="s">
        <v>55</v>
      </c>
      <c r="E820" t="s">
        <v>40</v>
      </c>
      <c r="F820" s="3">
        <v>43263</v>
      </c>
      <c r="G820" s="3">
        <v>43467</v>
      </c>
      <c r="H820" t="s">
        <v>2546</v>
      </c>
      <c r="I820" t="s">
        <v>33</v>
      </c>
      <c r="N820" s="3"/>
      <c r="O820" t="s">
        <v>2547</v>
      </c>
      <c r="Q820" s="3"/>
      <c r="R820" s="3"/>
      <c r="S820" s="3"/>
      <c r="T820" t="s">
        <v>36</v>
      </c>
      <c r="V820" s="3"/>
      <c r="W820" s="3"/>
      <c r="X820" s="3"/>
      <c r="Y820" s="3"/>
      <c r="Z820" s="3"/>
      <c r="AA820" s="3"/>
      <c r="AB820" s="3"/>
    </row>
    <row r="821" spans="1:29" x14ac:dyDescent="0.3">
      <c r="A821" s="2" t="str">
        <f>HYPERLINK("https://www.cadth.ca/patiromer", "Veltassa")</f>
        <v>Veltassa</v>
      </c>
      <c r="B821" t="s">
        <v>2548</v>
      </c>
      <c r="C821" t="s">
        <v>2549</v>
      </c>
      <c r="D821" t="s">
        <v>55</v>
      </c>
      <c r="E821" t="s">
        <v>40</v>
      </c>
      <c r="F821" s="3">
        <v>44134</v>
      </c>
      <c r="G821" s="3">
        <v>44355</v>
      </c>
      <c r="H821" t="s">
        <v>2550</v>
      </c>
      <c r="I821" t="s">
        <v>33</v>
      </c>
      <c r="N821" s="3"/>
      <c r="O821" t="s">
        <v>2551</v>
      </c>
      <c r="Q821" s="3"/>
      <c r="R821" s="3"/>
      <c r="S821" s="3"/>
      <c r="T821" t="s">
        <v>36</v>
      </c>
      <c r="V821" s="3"/>
      <c r="W821" s="3"/>
      <c r="X821" s="3"/>
      <c r="Y821" s="3"/>
      <c r="Z821" s="3"/>
      <c r="AA821" s="3"/>
      <c r="AB821" s="3"/>
    </row>
    <row r="822" spans="1:29" x14ac:dyDescent="0.3">
      <c r="A822" s="2" t="str">
        <f>HYPERLINK("https://www.cadth.ca/tenofovir-alafenamide", "Vemlidy")</f>
        <v>Vemlidy</v>
      </c>
      <c r="B822" t="s">
        <v>2552</v>
      </c>
      <c r="C822" t="s">
        <v>2553</v>
      </c>
      <c r="D822" t="s">
        <v>55</v>
      </c>
      <c r="E822" t="s">
        <v>40</v>
      </c>
      <c r="F822" s="3">
        <v>43006</v>
      </c>
      <c r="G822" s="3">
        <v>43185</v>
      </c>
      <c r="H822" t="s">
        <v>2554</v>
      </c>
      <c r="I822" t="s">
        <v>33</v>
      </c>
      <c r="N822" s="3"/>
      <c r="O822" t="s">
        <v>396</v>
      </c>
      <c r="Q822" s="3"/>
      <c r="R822" s="3"/>
      <c r="S822" s="3"/>
      <c r="T822" t="s">
        <v>36</v>
      </c>
      <c r="V822" s="3"/>
      <c r="W822" s="3"/>
      <c r="X822" s="3"/>
      <c r="Y822" s="3"/>
      <c r="Z822" s="3"/>
      <c r="AA822" s="3"/>
      <c r="AB822" s="3"/>
    </row>
    <row r="823" spans="1:29" x14ac:dyDescent="0.3">
      <c r="A823" s="2" t="str">
        <f>HYPERLINK("https://www.cadth.ca/node/95545", "Venclexta")</f>
        <v>Venclexta</v>
      </c>
      <c r="B823" t="s">
        <v>2555</v>
      </c>
      <c r="E823" t="s">
        <v>113</v>
      </c>
      <c r="F823" s="3">
        <v>42559</v>
      </c>
      <c r="G823" s="3"/>
      <c r="H823" t="s">
        <v>2556</v>
      </c>
      <c r="I823" t="s">
        <v>33</v>
      </c>
      <c r="J823" t="s">
        <v>2557</v>
      </c>
      <c r="K823" t="s">
        <v>284</v>
      </c>
      <c r="L823" t="s">
        <v>2558</v>
      </c>
      <c r="M823" t="s">
        <v>60</v>
      </c>
      <c r="N823" s="3">
        <v>42643</v>
      </c>
      <c r="O823" t="s">
        <v>725</v>
      </c>
      <c r="P823" t="s">
        <v>725</v>
      </c>
      <c r="Q823" s="3"/>
      <c r="R823" s="3"/>
      <c r="S823" s="3">
        <v>42577</v>
      </c>
      <c r="U823" t="s">
        <v>214</v>
      </c>
      <c r="V823" s="3">
        <v>42573</v>
      </c>
      <c r="W823" s="3">
        <v>42627</v>
      </c>
      <c r="X823" s="3">
        <v>42691</v>
      </c>
      <c r="Y823" s="3">
        <v>42705</v>
      </c>
      <c r="Z823" s="3">
        <v>42719</v>
      </c>
      <c r="AA823" s="3"/>
      <c r="AB823" s="3"/>
      <c r="AC823" t="s">
        <v>2559</v>
      </c>
    </row>
    <row r="824" spans="1:29" x14ac:dyDescent="0.3">
      <c r="A824" s="2" t="str">
        <f>HYPERLINK("https://www.cadth.ca/venetoclax", "Venclexta")</f>
        <v>Venclexta</v>
      </c>
      <c r="B824" t="s">
        <v>2560</v>
      </c>
      <c r="C824" t="s">
        <v>1732</v>
      </c>
      <c r="D824" t="s">
        <v>55</v>
      </c>
      <c r="E824" t="s">
        <v>31</v>
      </c>
      <c r="F824" s="3">
        <v>44204</v>
      </c>
      <c r="G824" s="3">
        <v>44428</v>
      </c>
      <c r="H824" t="s">
        <v>2561</v>
      </c>
      <c r="I824" t="s">
        <v>33</v>
      </c>
      <c r="K824" t="s">
        <v>284</v>
      </c>
      <c r="N824" s="3"/>
      <c r="O824" t="s">
        <v>725</v>
      </c>
      <c r="Q824" s="3"/>
      <c r="R824" s="3"/>
      <c r="S824" s="3"/>
      <c r="T824" t="s">
        <v>36</v>
      </c>
      <c r="V824" s="3"/>
      <c r="W824" s="3"/>
      <c r="X824" s="3"/>
      <c r="Y824" s="3"/>
      <c r="Z824" s="3"/>
      <c r="AA824" s="3"/>
      <c r="AB824" s="3"/>
    </row>
    <row r="825" spans="1:29" x14ac:dyDescent="0.3">
      <c r="A825" s="2" t="str">
        <f>HYPERLINK("https://www.cadth.ca/node/120112", "Venclexta")</f>
        <v>Venclexta</v>
      </c>
      <c r="B825" t="s">
        <v>2562</v>
      </c>
      <c r="C825" t="s">
        <v>2563</v>
      </c>
      <c r="D825" t="s">
        <v>55</v>
      </c>
      <c r="E825" t="s">
        <v>40</v>
      </c>
      <c r="F825" s="3">
        <v>43938</v>
      </c>
      <c r="G825" s="3">
        <v>44152</v>
      </c>
      <c r="H825" t="s">
        <v>2564</v>
      </c>
      <c r="I825" t="s">
        <v>33</v>
      </c>
      <c r="J825" t="s">
        <v>2565</v>
      </c>
      <c r="K825" t="s">
        <v>284</v>
      </c>
      <c r="L825" t="s">
        <v>2566</v>
      </c>
      <c r="M825" t="s">
        <v>60</v>
      </c>
      <c r="N825" s="3">
        <v>43949</v>
      </c>
      <c r="O825" t="s">
        <v>725</v>
      </c>
      <c r="P825" t="s">
        <v>725</v>
      </c>
      <c r="Q825" s="3"/>
      <c r="R825" s="3"/>
      <c r="S825" s="3">
        <v>43958</v>
      </c>
      <c r="V825" s="3">
        <v>43952</v>
      </c>
      <c r="W825" s="3">
        <v>44007</v>
      </c>
      <c r="X825" s="3">
        <v>44119</v>
      </c>
      <c r="Y825" s="3">
        <v>44133</v>
      </c>
      <c r="Z825" s="3">
        <v>44147</v>
      </c>
      <c r="AA825" s="3"/>
      <c r="AB825" s="3">
        <v>44167</v>
      </c>
    </row>
    <row r="826" spans="1:29" x14ac:dyDescent="0.3">
      <c r="A826" s="2" t="str">
        <f>HYPERLINK("https://www.cadth.ca/node/102819", "Venclexta")</f>
        <v>Venclexta</v>
      </c>
      <c r="B826" t="s">
        <v>2555</v>
      </c>
      <c r="C826" t="s">
        <v>281</v>
      </c>
      <c r="D826" t="s">
        <v>55</v>
      </c>
      <c r="E826" t="s">
        <v>40</v>
      </c>
      <c r="F826" s="3">
        <v>42926</v>
      </c>
      <c r="G826" s="3">
        <v>43161</v>
      </c>
      <c r="H826" t="s">
        <v>2567</v>
      </c>
      <c r="I826" t="s">
        <v>33</v>
      </c>
      <c r="J826" t="s">
        <v>2568</v>
      </c>
      <c r="K826" t="s">
        <v>284</v>
      </c>
      <c r="L826" t="s">
        <v>2569</v>
      </c>
      <c r="N826" s="3">
        <v>42643</v>
      </c>
      <c r="O826" t="s">
        <v>725</v>
      </c>
      <c r="P826" t="s">
        <v>725</v>
      </c>
      <c r="Q826" s="3"/>
      <c r="R826" s="3"/>
      <c r="S826" s="3">
        <v>42933</v>
      </c>
      <c r="U826" t="s">
        <v>99</v>
      </c>
      <c r="V826" s="3">
        <v>42940</v>
      </c>
      <c r="W826" s="3">
        <v>42985</v>
      </c>
      <c r="X826" s="3">
        <v>43055</v>
      </c>
      <c r="Y826" s="3">
        <v>43069</v>
      </c>
      <c r="Z826" s="3">
        <v>43083</v>
      </c>
      <c r="AA826" s="3"/>
      <c r="AB826" s="3">
        <v>43178</v>
      </c>
    </row>
    <row r="827" spans="1:29" x14ac:dyDescent="0.3">
      <c r="A827" s="2" t="str">
        <f>HYPERLINK("https://www.cadth.ca/venetoclax-0", "Venclexta")</f>
        <v>Venclexta</v>
      </c>
      <c r="B827" t="s">
        <v>2560</v>
      </c>
      <c r="C827" t="s">
        <v>1732</v>
      </c>
      <c r="D827" t="s">
        <v>127</v>
      </c>
      <c r="E827" t="s">
        <v>31</v>
      </c>
      <c r="F827" s="3">
        <v>44218</v>
      </c>
      <c r="G827" s="3">
        <v>44431</v>
      </c>
      <c r="H827" t="s">
        <v>2570</v>
      </c>
      <c r="I827" t="s">
        <v>33</v>
      </c>
      <c r="K827" t="s">
        <v>284</v>
      </c>
      <c r="N827" s="3"/>
      <c r="O827" t="s">
        <v>725</v>
      </c>
      <c r="Q827" s="3"/>
      <c r="R827" s="3"/>
      <c r="S827" s="3"/>
      <c r="T827" t="s">
        <v>36</v>
      </c>
      <c r="V827" s="3"/>
      <c r="W827" s="3"/>
      <c r="X827" s="3"/>
      <c r="Y827" s="3"/>
      <c r="Z827" s="3"/>
      <c r="AA827" s="3"/>
      <c r="AB827" s="3"/>
    </row>
    <row r="828" spans="1:29" x14ac:dyDescent="0.3">
      <c r="A828" s="2" t="str">
        <f>HYPERLINK("https://www.cadth.ca/node/111059", "Venclexta in combo Rituximab")</f>
        <v>Venclexta in combo Rituximab</v>
      </c>
      <c r="B828" t="s">
        <v>2555</v>
      </c>
      <c r="C828" t="s">
        <v>522</v>
      </c>
      <c r="D828" t="s">
        <v>55</v>
      </c>
      <c r="E828" t="s">
        <v>40</v>
      </c>
      <c r="F828" s="3">
        <v>43397</v>
      </c>
      <c r="G828" s="3">
        <v>43616</v>
      </c>
      <c r="H828" t="s">
        <v>2571</v>
      </c>
      <c r="I828" t="s">
        <v>33</v>
      </c>
      <c r="K828" t="s">
        <v>284</v>
      </c>
      <c r="L828" t="s">
        <v>2572</v>
      </c>
      <c r="N828" s="3">
        <v>43364</v>
      </c>
      <c r="O828" t="s">
        <v>725</v>
      </c>
      <c r="P828" t="s">
        <v>725</v>
      </c>
      <c r="Q828" s="3"/>
      <c r="R828" s="3"/>
      <c r="S828" s="3">
        <v>43411</v>
      </c>
      <c r="V828" s="3">
        <v>43411</v>
      </c>
      <c r="W828" s="3">
        <v>43473</v>
      </c>
      <c r="X828" s="3">
        <v>43545</v>
      </c>
      <c r="Y828" s="3">
        <v>43559</v>
      </c>
      <c r="Z828" s="3">
        <v>43573</v>
      </c>
      <c r="AA828" s="3"/>
      <c r="AB828" s="3">
        <v>43633</v>
      </c>
    </row>
    <row r="829" spans="1:29" x14ac:dyDescent="0.3">
      <c r="A829" s="2" t="str">
        <f>HYPERLINK("https://www.cadth.ca/cyclosporine-1", "Verkazia")</f>
        <v>Verkazia</v>
      </c>
      <c r="B829" t="s">
        <v>1085</v>
      </c>
      <c r="C829" t="s">
        <v>2573</v>
      </c>
      <c r="D829" t="s">
        <v>55</v>
      </c>
      <c r="E829" t="s">
        <v>40</v>
      </c>
      <c r="F829" s="3">
        <v>43607</v>
      </c>
      <c r="G829" s="3">
        <v>43787</v>
      </c>
      <c r="H829" t="s">
        <v>2574</v>
      </c>
      <c r="I829" t="s">
        <v>33</v>
      </c>
      <c r="N829" s="3"/>
      <c r="O829" t="s">
        <v>2575</v>
      </c>
      <c r="Q829" s="3"/>
      <c r="R829" s="3"/>
      <c r="S829" s="3"/>
      <c r="T829" t="s">
        <v>36</v>
      </c>
      <c r="V829" s="3"/>
      <c r="W829" s="3"/>
      <c r="X829" s="3"/>
      <c r="Y829" s="3"/>
      <c r="Z829" s="3"/>
      <c r="AA829" s="3"/>
      <c r="AB829" s="3"/>
    </row>
    <row r="830" spans="1:29" x14ac:dyDescent="0.3">
      <c r="A830" s="2" t="str">
        <f>HYPERLINK("https://www.cadth.ca/node/111870", "Verzenio")</f>
        <v>Verzenio</v>
      </c>
      <c r="B830" t="s">
        <v>2576</v>
      </c>
      <c r="C830" t="s">
        <v>1016</v>
      </c>
      <c r="D830" t="s">
        <v>55</v>
      </c>
      <c r="E830" t="s">
        <v>40</v>
      </c>
      <c r="F830" s="3">
        <v>43437</v>
      </c>
      <c r="G830" s="3">
        <v>43651</v>
      </c>
      <c r="H830" t="s">
        <v>2577</v>
      </c>
      <c r="I830" t="s">
        <v>33</v>
      </c>
      <c r="J830" t="s">
        <v>2578</v>
      </c>
      <c r="K830" t="s">
        <v>177</v>
      </c>
      <c r="L830" t="s">
        <v>2579</v>
      </c>
      <c r="M830" t="s">
        <v>60</v>
      </c>
      <c r="N830" s="3">
        <v>43560</v>
      </c>
      <c r="O830" t="s">
        <v>133</v>
      </c>
      <c r="P830" t="s">
        <v>133</v>
      </c>
      <c r="Q830" s="3"/>
      <c r="R830" s="3"/>
      <c r="S830" s="3">
        <v>43451</v>
      </c>
      <c r="V830" s="3">
        <v>43451</v>
      </c>
      <c r="W830" s="3">
        <v>43515</v>
      </c>
      <c r="X830" s="3">
        <v>43573</v>
      </c>
      <c r="Y830" s="3">
        <v>43588</v>
      </c>
      <c r="Z830" s="3">
        <v>43602</v>
      </c>
      <c r="AA830" s="3"/>
      <c r="AB830" s="3">
        <v>43668</v>
      </c>
    </row>
    <row r="831" spans="1:29" x14ac:dyDescent="0.3">
      <c r="A831" s="2" t="str">
        <f>HYPERLINK("https://www.cadth.ca/solifenacin-succinate-0", "Vesicare")</f>
        <v>Vesicare</v>
      </c>
      <c r="B831" t="s">
        <v>2580</v>
      </c>
      <c r="C831" t="s">
        <v>796</v>
      </c>
      <c r="D831" t="s">
        <v>46</v>
      </c>
      <c r="E831" t="s">
        <v>40</v>
      </c>
      <c r="F831" s="3">
        <v>39818</v>
      </c>
      <c r="G831" s="3">
        <v>39981</v>
      </c>
      <c r="H831" t="s">
        <v>2581</v>
      </c>
      <c r="I831" t="s">
        <v>33</v>
      </c>
      <c r="N831" s="3"/>
      <c r="O831" t="s">
        <v>1594</v>
      </c>
      <c r="Q831" s="3"/>
      <c r="R831" s="3"/>
      <c r="S831" s="3"/>
      <c r="T831" t="s">
        <v>142</v>
      </c>
      <c r="V831" s="3"/>
      <c r="W831" s="3"/>
      <c r="X831" s="3"/>
      <c r="Y831" s="3"/>
      <c r="Z831" s="3"/>
      <c r="AA831" s="3"/>
      <c r="AB831" s="3"/>
    </row>
    <row r="832" spans="1:29" x14ac:dyDescent="0.3">
      <c r="A832" s="2" t="str">
        <f>HYPERLINK("https://www.cadth.ca/solifenacin-succinate", "Vesicare")</f>
        <v>Vesicare</v>
      </c>
      <c r="B832" t="s">
        <v>2580</v>
      </c>
      <c r="C832" t="s">
        <v>796</v>
      </c>
      <c r="D832" t="s">
        <v>39</v>
      </c>
      <c r="E832" t="s">
        <v>40</v>
      </c>
      <c r="F832" s="3">
        <v>38922</v>
      </c>
      <c r="G832" s="3">
        <v>39106</v>
      </c>
      <c r="H832" t="s">
        <v>2582</v>
      </c>
      <c r="I832" t="s">
        <v>33</v>
      </c>
      <c r="N832" s="3"/>
      <c r="O832" t="s">
        <v>1594</v>
      </c>
      <c r="Q832" s="3"/>
      <c r="R832" s="3"/>
      <c r="S832" s="3"/>
      <c r="T832" t="s">
        <v>36</v>
      </c>
      <c r="V832" s="3"/>
      <c r="W832" s="3"/>
      <c r="X832" s="3"/>
      <c r="Y832" s="3"/>
      <c r="Z832" s="3"/>
      <c r="AA832" s="3"/>
      <c r="AB832" s="3"/>
    </row>
    <row r="833" spans="1:28" x14ac:dyDescent="0.3">
      <c r="A833" s="2" t="str">
        <f>HYPERLINK("https://www.cadth.ca/solifenacin-succinate-tamsulosin-hydrochloride", "VesiFlow")</f>
        <v>VesiFlow</v>
      </c>
      <c r="B833" t="s">
        <v>2583</v>
      </c>
      <c r="C833" t="s">
        <v>1957</v>
      </c>
      <c r="E833" t="s">
        <v>113</v>
      </c>
      <c r="F833" s="3">
        <v>42100</v>
      </c>
      <c r="G833" s="3"/>
      <c r="H833" t="s">
        <v>2584</v>
      </c>
      <c r="I833" t="s">
        <v>33</v>
      </c>
      <c r="N833" s="3"/>
      <c r="O833" t="s">
        <v>1592</v>
      </c>
      <c r="Q833" s="3"/>
      <c r="R833" s="3"/>
      <c r="S833" s="3"/>
      <c r="T833" t="s">
        <v>36</v>
      </c>
      <c r="V833" s="3"/>
      <c r="W833" s="3"/>
      <c r="X833" s="3"/>
      <c r="Y833" s="3"/>
      <c r="Z833" s="3"/>
      <c r="AA833" s="3"/>
      <c r="AB833" s="3"/>
    </row>
    <row r="834" spans="1:28" x14ac:dyDescent="0.3">
      <c r="A834" s="2" t="str">
        <f>HYPERLINK("https://www.cadth.ca/voriconazole-0", "VFEND")</f>
        <v>VFEND</v>
      </c>
      <c r="B834" t="s">
        <v>2585</v>
      </c>
      <c r="C834" t="s">
        <v>2586</v>
      </c>
      <c r="D834" t="s">
        <v>46</v>
      </c>
      <c r="E834" t="s">
        <v>40</v>
      </c>
      <c r="F834" s="3">
        <v>38285</v>
      </c>
      <c r="G834" s="3">
        <v>38456</v>
      </c>
      <c r="H834" t="s">
        <v>2587</v>
      </c>
      <c r="I834" t="s">
        <v>33</v>
      </c>
      <c r="N834" s="3"/>
      <c r="O834" t="s">
        <v>387</v>
      </c>
      <c r="Q834" s="3"/>
      <c r="R834" s="3"/>
      <c r="S834" s="3"/>
      <c r="T834" t="s">
        <v>142</v>
      </c>
      <c r="V834" s="3"/>
      <c r="W834" s="3"/>
      <c r="X834" s="3"/>
      <c r="Y834" s="3"/>
      <c r="Z834" s="3"/>
      <c r="AA834" s="3"/>
      <c r="AB834" s="3"/>
    </row>
    <row r="835" spans="1:28" x14ac:dyDescent="0.3">
      <c r="A835" s="2" t="str">
        <f>HYPERLINK("https://www.cadth.ca/voriconazole-1", "VFEND")</f>
        <v>VFEND</v>
      </c>
      <c r="B835" t="s">
        <v>2585</v>
      </c>
      <c r="C835" t="s">
        <v>2588</v>
      </c>
      <c r="D835" t="s">
        <v>46</v>
      </c>
      <c r="E835" t="s">
        <v>40</v>
      </c>
      <c r="F835" s="3">
        <v>38800</v>
      </c>
      <c r="G835" s="3">
        <v>39015</v>
      </c>
      <c r="H835" t="s">
        <v>2589</v>
      </c>
      <c r="I835" t="s">
        <v>33</v>
      </c>
      <c r="N835" s="3"/>
      <c r="O835" t="s">
        <v>387</v>
      </c>
      <c r="Q835" s="3"/>
      <c r="R835" s="3"/>
      <c r="S835" s="3"/>
      <c r="T835" t="s">
        <v>142</v>
      </c>
      <c r="V835" s="3"/>
      <c r="W835" s="3"/>
      <c r="X835" s="3"/>
      <c r="Y835" s="3"/>
      <c r="Z835" s="3"/>
      <c r="AA835" s="3"/>
      <c r="AB835" s="3"/>
    </row>
    <row r="836" spans="1:28" x14ac:dyDescent="0.3">
      <c r="A836" s="2" t="str">
        <f>HYPERLINK("https://www.cadth.ca/voriconazole", "VFEND")</f>
        <v>VFEND</v>
      </c>
      <c r="B836" t="s">
        <v>2585</v>
      </c>
      <c r="C836" t="s">
        <v>2586</v>
      </c>
      <c r="E836" t="s">
        <v>113</v>
      </c>
      <c r="F836" s="3">
        <v>38223</v>
      </c>
      <c r="G836" s="3"/>
      <c r="H836" t="s">
        <v>2590</v>
      </c>
      <c r="I836" t="s">
        <v>33</v>
      </c>
      <c r="N836" s="3"/>
      <c r="O836" t="s">
        <v>387</v>
      </c>
      <c r="Q836" s="3"/>
      <c r="R836" s="3"/>
      <c r="S836" s="3"/>
      <c r="T836" t="s">
        <v>36</v>
      </c>
      <c r="V836" s="3"/>
      <c r="W836" s="3"/>
      <c r="X836" s="3"/>
      <c r="Y836" s="3"/>
      <c r="Z836" s="3"/>
      <c r="AA836" s="3"/>
      <c r="AB836" s="3"/>
    </row>
    <row r="837" spans="1:28" x14ac:dyDescent="0.3">
      <c r="A837" s="2" t="str">
        <f>HYPERLINK("https://www.cadth.ca/perindopril-arginine-amlodipine", "Viacoram")</f>
        <v>Viacoram</v>
      </c>
      <c r="B837" t="s">
        <v>2591</v>
      </c>
      <c r="C837" t="s">
        <v>2592</v>
      </c>
      <c r="D837" t="s">
        <v>55</v>
      </c>
      <c r="E837" t="s">
        <v>40</v>
      </c>
      <c r="F837" s="3">
        <v>42492</v>
      </c>
      <c r="G837" s="3">
        <v>42669</v>
      </c>
      <c r="H837" t="s">
        <v>2593</v>
      </c>
      <c r="I837" t="s">
        <v>33</v>
      </c>
      <c r="N837" s="3"/>
      <c r="O837" t="s">
        <v>372</v>
      </c>
      <c r="Q837" s="3"/>
      <c r="R837" s="3"/>
      <c r="S837" s="3"/>
      <c r="T837" t="s">
        <v>36</v>
      </c>
      <c r="V837" s="3"/>
      <c r="W837" s="3"/>
      <c r="X837" s="3"/>
      <c r="Y837" s="3"/>
      <c r="Z837" s="3"/>
      <c r="AA837" s="3"/>
      <c r="AB837" s="3"/>
    </row>
    <row r="838" spans="1:28" x14ac:dyDescent="0.3">
      <c r="A838" s="2" t="str">
        <f>HYPERLINK("https://www.cadth.ca/eluxadoline", "Viberzi")</f>
        <v>Viberzi</v>
      </c>
      <c r="B838" t="s">
        <v>2594</v>
      </c>
      <c r="C838" t="s">
        <v>2595</v>
      </c>
      <c r="D838" t="s">
        <v>127</v>
      </c>
      <c r="E838" t="s">
        <v>40</v>
      </c>
      <c r="F838" s="3">
        <v>43154</v>
      </c>
      <c r="G838" s="3">
        <v>43336</v>
      </c>
      <c r="H838" t="s">
        <v>2596</v>
      </c>
      <c r="I838" t="s">
        <v>33</v>
      </c>
      <c r="N838" s="3"/>
      <c r="O838" t="s">
        <v>2597</v>
      </c>
      <c r="Q838" s="3"/>
      <c r="R838" s="3"/>
      <c r="S838" s="3"/>
      <c r="T838" t="s">
        <v>36</v>
      </c>
      <c r="V838" s="3"/>
      <c r="W838" s="3"/>
      <c r="X838" s="3"/>
      <c r="Y838" s="3"/>
      <c r="Z838" s="3"/>
      <c r="AA838" s="3"/>
      <c r="AB838" s="3"/>
    </row>
    <row r="839" spans="1:28" x14ac:dyDescent="0.3">
      <c r="A839" s="2" t="str">
        <f>HYPERLINK("https://www.cadth.ca/liraglutide-0", "Victoza")</f>
        <v>Victoza</v>
      </c>
      <c r="B839" t="s">
        <v>2598</v>
      </c>
      <c r="C839" t="s">
        <v>1192</v>
      </c>
      <c r="E839" t="s">
        <v>113</v>
      </c>
      <c r="F839" s="3">
        <v>42663</v>
      </c>
      <c r="G839" s="3"/>
      <c r="H839" t="s">
        <v>2599</v>
      </c>
      <c r="I839" t="s">
        <v>33</v>
      </c>
      <c r="N839" s="3"/>
      <c r="O839" t="s">
        <v>1433</v>
      </c>
      <c r="Q839" s="3"/>
      <c r="R839" s="3"/>
      <c r="S839" s="3"/>
      <c r="T839" t="s">
        <v>142</v>
      </c>
      <c r="V839" s="3"/>
      <c r="W839" s="3"/>
      <c r="X839" s="3"/>
      <c r="Y839" s="3"/>
      <c r="Z839" s="3"/>
      <c r="AA839" s="3"/>
      <c r="AB839" s="3"/>
    </row>
    <row r="840" spans="1:28" x14ac:dyDescent="0.3">
      <c r="A840" s="2" t="str">
        <f>HYPERLINK("https://www.cadth.ca/liraglutide", "Victoza")</f>
        <v>Victoza</v>
      </c>
      <c r="B840" t="s">
        <v>2598</v>
      </c>
      <c r="C840" t="s">
        <v>150</v>
      </c>
      <c r="D840" t="s">
        <v>39</v>
      </c>
      <c r="E840" t="s">
        <v>40</v>
      </c>
      <c r="F840" s="3">
        <v>40511</v>
      </c>
      <c r="G840" s="3">
        <v>40814</v>
      </c>
      <c r="H840" t="s">
        <v>2600</v>
      </c>
      <c r="I840" t="s">
        <v>33</v>
      </c>
      <c r="N840" s="3"/>
      <c r="O840" t="s">
        <v>1433</v>
      </c>
      <c r="Q840" s="3"/>
      <c r="R840" s="3"/>
      <c r="S840" s="3"/>
      <c r="T840" t="s">
        <v>36</v>
      </c>
      <c r="V840" s="3"/>
      <c r="W840" s="3"/>
      <c r="X840" s="3"/>
      <c r="Y840" s="3"/>
      <c r="Z840" s="3"/>
      <c r="AA840" s="3"/>
      <c r="AB840" s="3"/>
    </row>
    <row r="841" spans="1:28" x14ac:dyDescent="0.3">
      <c r="A841" s="2" t="str">
        <f>HYPERLINK("https://www.cadth.ca/boceprevir-0", "Victrelis")</f>
        <v>Victrelis</v>
      </c>
      <c r="B841" t="s">
        <v>2601</v>
      </c>
      <c r="C841" t="s">
        <v>825</v>
      </c>
      <c r="D841" t="s">
        <v>50</v>
      </c>
      <c r="E841" t="s">
        <v>40</v>
      </c>
      <c r="F841" s="3">
        <v>41264</v>
      </c>
      <c r="G841" s="3">
        <v>41438</v>
      </c>
      <c r="H841" t="s">
        <v>2602</v>
      </c>
      <c r="I841" t="s">
        <v>33</v>
      </c>
      <c r="N841" s="3"/>
      <c r="O841" t="s">
        <v>289</v>
      </c>
      <c r="Q841" s="3"/>
      <c r="R841" s="3"/>
      <c r="S841" s="3"/>
      <c r="T841" t="s">
        <v>49</v>
      </c>
      <c r="V841" s="3"/>
      <c r="W841" s="3"/>
      <c r="X841" s="3"/>
      <c r="Y841" s="3"/>
      <c r="Z841" s="3"/>
      <c r="AA841" s="3"/>
      <c r="AB841" s="3"/>
    </row>
    <row r="842" spans="1:28" x14ac:dyDescent="0.3">
      <c r="A842" s="2" t="str">
        <f>HYPERLINK("https://www.cadth.ca/boceprevir", "Victrelis")</f>
        <v>Victrelis</v>
      </c>
      <c r="B842" t="s">
        <v>2601</v>
      </c>
      <c r="C842" t="s">
        <v>825</v>
      </c>
      <c r="D842" t="s">
        <v>46</v>
      </c>
      <c r="E842" t="s">
        <v>40</v>
      </c>
      <c r="F842" s="3">
        <v>40666</v>
      </c>
      <c r="G842" s="3">
        <v>40840</v>
      </c>
      <c r="H842" t="s">
        <v>2603</v>
      </c>
      <c r="I842" t="s">
        <v>33</v>
      </c>
      <c r="N842" s="3"/>
      <c r="O842" t="s">
        <v>289</v>
      </c>
      <c r="Q842" s="3"/>
      <c r="R842" s="3"/>
      <c r="S842" s="3"/>
      <c r="T842" t="s">
        <v>36</v>
      </c>
      <c r="V842" s="3"/>
      <c r="W842" s="3"/>
      <c r="X842" s="3"/>
      <c r="Y842" s="3"/>
      <c r="Z842" s="3"/>
      <c r="AA842" s="3"/>
      <c r="AB842" s="3"/>
    </row>
    <row r="843" spans="1:28" x14ac:dyDescent="0.3">
      <c r="A843" s="2" t="str">
        <f>HYPERLINK("https://www.cadth.ca/boceprevir-1", "Victrelis")</f>
        <v>Victrelis</v>
      </c>
      <c r="B843" t="s">
        <v>2601</v>
      </c>
      <c r="C843" t="s">
        <v>825</v>
      </c>
      <c r="D843" t="s">
        <v>50</v>
      </c>
      <c r="E843" t="s">
        <v>40</v>
      </c>
      <c r="F843" s="3">
        <v>41324</v>
      </c>
      <c r="G843" s="3">
        <v>41438</v>
      </c>
      <c r="H843" t="s">
        <v>2604</v>
      </c>
      <c r="I843" t="s">
        <v>33</v>
      </c>
      <c r="N843" s="3"/>
      <c r="O843" t="s">
        <v>289</v>
      </c>
      <c r="Q843" s="3"/>
      <c r="R843" s="3"/>
      <c r="S843" s="3"/>
      <c r="T843" t="s">
        <v>49</v>
      </c>
      <c r="V843" s="3"/>
      <c r="W843" s="3"/>
      <c r="X843" s="3"/>
      <c r="Y843" s="3"/>
      <c r="Z843" s="3"/>
      <c r="AA843" s="3"/>
      <c r="AB843" s="3"/>
    </row>
    <row r="844" spans="1:28" x14ac:dyDescent="0.3">
      <c r="A844" s="2" t="str">
        <f>HYPERLINK("https://www.cadth.ca/vilazodone", "Viibryd")</f>
        <v>Viibryd</v>
      </c>
      <c r="B844" t="s">
        <v>2605</v>
      </c>
      <c r="D844" t="s">
        <v>577</v>
      </c>
      <c r="E844" t="s">
        <v>578</v>
      </c>
      <c r="F844" s="3"/>
      <c r="G844" s="3"/>
      <c r="H844" t="s">
        <v>391</v>
      </c>
      <c r="I844" t="s">
        <v>33</v>
      </c>
      <c r="N844" s="3"/>
      <c r="O844" t="s">
        <v>434</v>
      </c>
      <c r="Q844" s="3"/>
      <c r="R844" s="3"/>
      <c r="S844" s="3"/>
      <c r="T844" t="s">
        <v>579</v>
      </c>
      <c r="V844" s="3"/>
      <c r="W844" s="3"/>
      <c r="X844" s="3"/>
      <c r="Y844" s="3"/>
      <c r="Z844" s="3"/>
      <c r="AA844" s="3"/>
      <c r="AB844" s="3"/>
    </row>
    <row r="845" spans="1:28" x14ac:dyDescent="0.3">
      <c r="A845" s="2" t="str">
        <f>HYPERLINK("https://www.cadth.ca/elosulfase-alfa-0", "Vimizim")</f>
        <v>Vimizim</v>
      </c>
      <c r="B845" t="s">
        <v>2606</v>
      </c>
      <c r="C845" t="s">
        <v>2607</v>
      </c>
      <c r="D845" t="s">
        <v>55</v>
      </c>
      <c r="E845" t="s">
        <v>40</v>
      </c>
      <c r="F845" s="3">
        <v>42318</v>
      </c>
      <c r="G845" s="3">
        <v>42510</v>
      </c>
      <c r="H845" t="s">
        <v>2608</v>
      </c>
      <c r="I845" t="s">
        <v>33</v>
      </c>
      <c r="N845" s="3"/>
      <c r="O845" t="s">
        <v>1365</v>
      </c>
      <c r="Q845" s="3"/>
      <c r="R845" s="3"/>
      <c r="S845" s="3"/>
      <c r="T845" t="s">
        <v>142</v>
      </c>
      <c r="V845" s="3"/>
      <c r="W845" s="3"/>
      <c r="X845" s="3"/>
      <c r="Y845" s="3"/>
      <c r="Z845" s="3"/>
      <c r="AA845" s="3"/>
      <c r="AB845" s="3"/>
    </row>
    <row r="846" spans="1:28" x14ac:dyDescent="0.3">
      <c r="A846" s="2" t="str">
        <f>HYPERLINK("https://www.cadth.ca/elosulfase-alfa", "Vimizim")</f>
        <v>Vimizim</v>
      </c>
      <c r="B846" t="s">
        <v>2606</v>
      </c>
      <c r="C846" t="s">
        <v>2607</v>
      </c>
      <c r="D846" t="s">
        <v>39</v>
      </c>
      <c r="E846" t="s">
        <v>40</v>
      </c>
      <c r="F846" s="3">
        <v>41856</v>
      </c>
      <c r="G846" s="3">
        <v>42088</v>
      </c>
      <c r="H846" t="s">
        <v>2609</v>
      </c>
      <c r="I846" t="s">
        <v>33</v>
      </c>
      <c r="N846" s="3"/>
      <c r="O846" t="s">
        <v>1365</v>
      </c>
      <c r="Q846" s="3"/>
      <c r="R846" s="3"/>
      <c r="S846" s="3"/>
      <c r="T846" t="s">
        <v>36</v>
      </c>
      <c r="V846" s="3"/>
      <c r="W846" s="3"/>
      <c r="X846" s="3"/>
      <c r="Y846" s="3"/>
      <c r="Z846" s="3"/>
      <c r="AA846" s="3"/>
      <c r="AB846" s="3"/>
    </row>
    <row r="847" spans="1:28" x14ac:dyDescent="0.3">
      <c r="A847" s="2" t="str">
        <f>HYPERLINK("https://www.cadth.ca/lacosamide", "Vimpat")</f>
        <v>Vimpat</v>
      </c>
      <c r="B847" t="s">
        <v>2610</v>
      </c>
      <c r="C847" t="s">
        <v>953</v>
      </c>
      <c r="D847" t="s">
        <v>46</v>
      </c>
      <c r="E847" t="s">
        <v>40</v>
      </c>
      <c r="F847" s="3">
        <v>40476</v>
      </c>
      <c r="G847" s="3">
        <v>40658</v>
      </c>
      <c r="H847" t="s">
        <v>2611</v>
      </c>
      <c r="I847" t="s">
        <v>33</v>
      </c>
      <c r="N847" s="3"/>
      <c r="O847" t="s">
        <v>481</v>
      </c>
      <c r="Q847" s="3"/>
      <c r="R847" s="3"/>
      <c r="S847" s="3"/>
      <c r="T847" t="s">
        <v>36</v>
      </c>
      <c r="V847" s="3"/>
      <c r="W847" s="3"/>
      <c r="X847" s="3"/>
      <c r="Y847" s="3"/>
      <c r="Z847" s="3"/>
      <c r="AA847" s="3"/>
      <c r="AB847" s="3"/>
    </row>
    <row r="848" spans="1:28" x14ac:dyDescent="0.3">
      <c r="A848" s="2" t="str">
        <f>HYPERLINK("https://www.cadth.ca/tenofovir-disoproxil-fumarate-0", "Viread")</f>
        <v>Viread</v>
      </c>
      <c r="B848" t="s">
        <v>2612</v>
      </c>
      <c r="C848" t="s">
        <v>273</v>
      </c>
      <c r="D848" t="s">
        <v>46</v>
      </c>
      <c r="E848" t="s">
        <v>40</v>
      </c>
      <c r="F848" s="3">
        <v>38575</v>
      </c>
      <c r="G848" s="3">
        <v>38791</v>
      </c>
      <c r="H848" t="s">
        <v>2613</v>
      </c>
      <c r="I848" t="s">
        <v>33</v>
      </c>
      <c r="N848" s="3"/>
      <c r="O848" t="s">
        <v>539</v>
      </c>
      <c r="Q848" s="3"/>
      <c r="R848" s="3"/>
      <c r="S848" s="3"/>
      <c r="T848" t="s">
        <v>142</v>
      </c>
      <c r="V848" s="3"/>
      <c r="W848" s="3"/>
      <c r="X848" s="3"/>
      <c r="Y848" s="3"/>
      <c r="Z848" s="3"/>
      <c r="AA848" s="3"/>
      <c r="AB848" s="3"/>
    </row>
    <row r="849" spans="1:28" x14ac:dyDescent="0.3">
      <c r="A849" s="2" t="str">
        <f>HYPERLINK("https://www.cadth.ca/tenofovir-disoproxil-fumarate", "Viread")</f>
        <v>Viread</v>
      </c>
      <c r="B849" t="s">
        <v>2612</v>
      </c>
      <c r="C849" t="s">
        <v>273</v>
      </c>
      <c r="D849" t="s">
        <v>39</v>
      </c>
      <c r="E849" t="s">
        <v>40</v>
      </c>
      <c r="F849" s="3">
        <v>38040</v>
      </c>
      <c r="G849" s="3">
        <v>38224</v>
      </c>
      <c r="H849" t="s">
        <v>2614</v>
      </c>
      <c r="I849" t="s">
        <v>33</v>
      </c>
      <c r="N849" s="3"/>
      <c r="O849" t="s">
        <v>539</v>
      </c>
      <c r="Q849" s="3"/>
      <c r="R849" s="3"/>
      <c r="S849" s="3"/>
      <c r="T849" t="s">
        <v>36</v>
      </c>
      <c r="V849" s="3"/>
      <c r="W849" s="3"/>
      <c r="X849" s="3"/>
      <c r="Y849" s="3"/>
      <c r="Z849" s="3"/>
      <c r="AA849" s="3"/>
      <c r="AB849" s="3"/>
    </row>
    <row r="850" spans="1:28" x14ac:dyDescent="0.3">
      <c r="A850" s="2" t="str">
        <f>HYPERLINK("https://www.cadth.ca/tenofovir-disoproxil-fumarate-1", "Viread")</f>
        <v>Viread</v>
      </c>
      <c r="B850" t="s">
        <v>2612</v>
      </c>
      <c r="C850" t="s">
        <v>273</v>
      </c>
      <c r="E850" t="s">
        <v>40</v>
      </c>
      <c r="F850" s="3">
        <v>39636</v>
      </c>
      <c r="G850" s="3"/>
      <c r="H850" t="s">
        <v>2615</v>
      </c>
      <c r="I850" t="s">
        <v>33</v>
      </c>
      <c r="N850" s="3"/>
      <c r="O850" t="s">
        <v>539</v>
      </c>
      <c r="Q850" s="3"/>
      <c r="R850" s="3"/>
      <c r="S850" s="3"/>
      <c r="T850" t="s">
        <v>49</v>
      </c>
      <c r="V850" s="3"/>
      <c r="W850" s="3"/>
      <c r="X850" s="3"/>
      <c r="Y850" s="3"/>
      <c r="Z850" s="3"/>
      <c r="AA850" s="3"/>
      <c r="AB850" s="3"/>
    </row>
    <row r="851" spans="1:28" x14ac:dyDescent="0.3">
      <c r="A851" s="2" t="str">
        <f>HYPERLINK("https://www.cadth.ca/tenofovir-disoproxil-fumarate-2", "Viread")</f>
        <v>Viread</v>
      </c>
      <c r="B851" t="s">
        <v>2612</v>
      </c>
      <c r="C851" t="s">
        <v>353</v>
      </c>
      <c r="D851" t="s">
        <v>46</v>
      </c>
      <c r="E851" t="s">
        <v>40</v>
      </c>
      <c r="F851" s="3">
        <v>39723</v>
      </c>
      <c r="G851" s="3">
        <v>39890</v>
      </c>
      <c r="H851" t="s">
        <v>2616</v>
      </c>
      <c r="I851" t="s">
        <v>33</v>
      </c>
      <c r="N851" s="3"/>
      <c r="O851" t="s">
        <v>539</v>
      </c>
      <c r="Q851" s="3"/>
      <c r="R851" s="3"/>
      <c r="S851" s="3"/>
      <c r="T851" t="s">
        <v>36</v>
      </c>
      <c r="V851" s="3"/>
      <c r="W851" s="3"/>
      <c r="X851" s="3"/>
      <c r="Y851" s="3"/>
      <c r="Z851" s="3"/>
      <c r="AA851" s="3"/>
      <c r="AB851" s="3"/>
    </row>
    <row r="852" spans="1:28" x14ac:dyDescent="0.3">
      <c r="A852" s="2" t="str">
        <f>HYPERLINK("https://www.cadth.ca/dienogest", "Visanne")</f>
        <v>Visanne</v>
      </c>
      <c r="B852" t="s">
        <v>2617</v>
      </c>
      <c r="C852" t="s">
        <v>2618</v>
      </c>
      <c r="D852" t="s">
        <v>46</v>
      </c>
      <c r="E852" t="s">
        <v>40</v>
      </c>
      <c r="F852" s="3">
        <v>40834</v>
      </c>
      <c r="G852" s="3">
        <v>41018</v>
      </c>
      <c r="H852" t="s">
        <v>2619</v>
      </c>
      <c r="I852" t="s">
        <v>33</v>
      </c>
      <c r="N852" s="3"/>
      <c r="O852" t="s">
        <v>146</v>
      </c>
      <c r="Q852" s="3"/>
      <c r="R852" s="3"/>
      <c r="S852" s="3"/>
      <c r="T852" t="s">
        <v>36</v>
      </c>
      <c r="V852" s="3"/>
      <c r="W852" s="3"/>
      <c r="X852" s="3"/>
      <c r="Y852" s="3"/>
      <c r="Z852" s="3"/>
      <c r="AA852" s="3"/>
      <c r="AB852" s="3"/>
    </row>
    <row r="853" spans="1:28" x14ac:dyDescent="0.3">
      <c r="A853" s="2" t="str">
        <f>HYPERLINK("https://www.cadth.ca/larotrectinib", "Vitrakvi")</f>
        <v>Vitrakvi</v>
      </c>
      <c r="B853" t="s">
        <v>2620</v>
      </c>
      <c r="C853" t="s">
        <v>2621</v>
      </c>
      <c r="D853" t="s">
        <v>55</v>
      </c>
      <c r="E853" t="s">
        <v>31</v>
      </c>
      <c r="F853" s="3">
        <v>44151</v>
      </c>
      <c r="G853" s="3">
        <v>44452</v>
      </c>
      <c r="H853" t="s">
        <v>2622</v>
      </c>
      <c r="I853" t="s">
        <v>33</v>
      </c>
      <c r="K853" t="s">
        <v>673</v>
      </c>
      <c r="N853" s="3"/>
      <c r="O853" t="s">
        <v>146</v>
      </c>
      <c r="Q853" s="3"/>
      <c r="R853" s="3"/>
      <c r="S853" s="3"/>
      <c r="T853" t="s">
        <v>142</v>
      </c>
      <c r="V853" s="3"/>
      <c r="W853" s="3"/>
      <c r="X853" s="3"/>
      <c r="Y853" s="3"/>
      <c r="Z853" s="3"/>
      <c r="AA853" s="3"/>
      <c r="AB853" s="3"/>
    </row>
    <row r="854" spans="1:28" x14ac:dyDescent="0.3">
      <c r="A854" s="2" t="str">
        <f>HYPERLINK("https://www.cadth.ca/node/113271", "Vitrakvi")</f>
        <v>Vitrakvi</v>
      </c>
      <c r="B854" t="s">
        <v>2623</v>
      </c>
      <c r="C854" t="s">
        <v>2624</v>
      </c>
      <c r="D854" t="s">
        <v>127</v>
      </c>
      <c r="E854" t="s">
        <v>40</v>
      </c>
      <c r="F854" s="3">
        <v>43521</v>
      </c>
      <c r="G854" s="3">
        <v>43769</v>
      </c>
      <c r="H854" t="s">
        <v>2625</v>
      </c>
      <c r="I854" t="s">
        <v>33</v>
      </c>
      <c r="J854" t="s">
        <v>2626</v>
      </c>
      <c r="K854" t="s">
        <v>673</v>
      </c>
      <c r="L854" t="s">
        <v>2627</v>
      </c>
      <c r="M854" t="s">
        <v>60</v>
      </c>
      <c r="N854" s="3">
        <v>43656</v>
      </c>
      <c r="O854" t="s">
        <v>146</v>
      </c>
      <c r="P854" t="s">
        <v>146</v>
      </c>
      <c r="Q854" s="3"/>
      <c r="R854" s="3"/>
      <c r="S854" s="3">
        <v>43553</v>
      </c>
      <c r="V854" s="3">
        <v>43535</v>
      </c>
      <c r="W854" s="3">
        <v>43620</v>
      </c>
      <c r="X854" s="3">
        <v>43692</v>
      </c>
      <c r="Y854" s="3">
        <v>43706</v>
      </c>
      <c r="Z854" s="3">
        <v>43721</v>
      </c>
      <c r="AA854" s="3"/>
      <c r="AB854" s="3">
        <v>43784</v>
      </c>
    </row>
    <row r="855" spans="1:28" x14ac:dyDescent="0.3">
      <c r="A855" s="2" t="str">
        <f>HYPERLINK("https://www.cadth.ca/node/110511", "Vizimpro")</f>
        <v>Vizimpro</v>
      </c>
      <c r="B855" t="s">
        <v>2628</v>
      </c>
      <c r="C855" t="s">
        <v>207</v>
      </c>
      <c r="D855" t="s">
        <v>55</v>
      </c>
      <c r="E855" t="s">
        <v>40</v>
      </c>
      <c r="F855" s="3">
        <v>43362</v>
      </c>
      <c r="G855" s="3">
        <v>43616</v>
      </c>
      <c r="H855" t="s">
        <v>2629</v>
      </c>
      <c r="I855" t="s">
        <v>33</v>
      </c>
      <c r="J855" t="s">
        <v>2630</v>
      </c>
      <c r="K855" t="s">
        <v>205</v>
      </c>
      <c r="L855" t="s">
        <v>2631</v>
      </c>
      <c r="M855" t="s">
        <v>60</v>
      </c>
      <c r="N855" s="3">
        <v>43522</v>
      </c>
      <c r="O855" t="s">
        <v>387</v>
      </c>
      <c r="P855" t="s">
        <v>387</v>
      </c>
      <c r="Q855" s="3"/>
      <c r="R855" s="3"/>
      <c r="S855" s="3">
        <v>43376</v>
      </c>
      <c r="V855" s="3">
        <v>43376</v>
      </c>
      <c r="W855" s="3">
        <v>43438</v>
      </c>
      <c r="X855" s="3">
        <v>43545</v>
      </c>
      <c r="Y855" s="3">
        <v>43559</v>
      </c>
      <c r="Z855" s="3">
        <v>43573</v>
      </c>
      <c r="AA855" s="3"/>
      <c r="AB855" s="3">
        <v>43633</v>
      </c>
    </row>
    <row r="856" spans="1:28" x14ac:dyDescent="0.3">
      <c r="A856" s="2" t="str">
        <f>HYPERLINK("https://www.cadth.ca/cabotegravirrilpivirine", "Vocabria and Cabenuva")</f>
        <v>Vocabria and Cabenuva</v>
      </c>
      <c r="B856" t="s">
        <v>2632</v>
      </c>
      <c r="C856" t="s">
        <v>394</v>
      </c>
      <c r="D856" t="s">
        <v>55</v>
      </c>
      <c r="E856" t="s">
        <v>40</v>
      </c>
      <c r="F856" s="3">
        <v>43696</v>
      </c>
      <c r="G856" s="3">
        <v>44034</v>
      </c>
      <c r="H856" t="s">
        <v>2633</v>
      </c>
      <c r="I856" t="s">
        <v>33</v>
      </c>
      <c r="N856" s="3"/>
      <c r="O856" t="s">
        <v>1252</v>
      </c>
      <c r="Q856" s="3"/>
      <c r="R856" s="3"/>
      <c r="S856" s="3"/>
      <c r="T856" t="s">
        <v>36</v>
      </c>
      <c r="V856" s="3"/>
      <c r="W856" s="3"/>
      <c r="X856" s="3"/>
      <c r="Y856" s="3"/>
      <c r="Z856" s="3"/>
      <c r="AA856" s="3"/>
      <c r="AB856" s="3"/>
    </row>
    <row r="857" spans="1:28" x14ac:dyDescent="0.3">
      <c r="A857" s="2" t="str">
        <f>HYPERLINK("https://www.cadth.ca/ambrisentan", "Volibris")</f>
        <v>Volibris</v>
      </c>
      <c r="B857" t="s">
        <v>2634</v>
      </c>
      <c r="C857" t="s">
        <v>2018</v>
      </c>
      <c r="D857" t="s">
        <v>46</v>
      </c>
      <c r="E857" t="s">
        <v>40</v>
      </c>
      <c r="F857" s="3">
        <v>39638</v>
      </c>
      <c r="G857" s="3">
        <v>39799</v>
      </c>
      <c r="H857" t="s">
        <v>2635</v>
      </c>
      <c r="I857" t="s">
        <v>33</v>
      </c>
      <c r="N857" s="3"/>
      <c r="O857" t="s">
        <v>259</v>
      </c>
      <c r="Q857" s="3"/>
      <c r="R857" s="3"/>
      <c r="S857" s="3"/>
      <c r="T857" t="s">
        <v>36</v>
      </c>
      <c r="V857" s="3"/>
      <c r="W857" s="3"/>
      <c r="X857" s="3"/>
      <c r="Y857" s="3"/>
      <c r="Z857" s="3"/>
      <c r="AA857" s="3"/>
      <c r="AB857" s="3"/>
    </row>
    <row r="858" spans="1:28" x14ac:dyDescent="0.3">
      <c r="A858" s="2" t="str">
        <f>HYPERLINK("https://www.cadth.ca/von-willebrand-factor-recombinant", "Vonvendi")</f>
        <v>Vonvendi</v>
      </c>
      <c r="B858" t="s">
        <v>2636</v>
      </c>
      <c r="C858" t="s">
        <v>2637</v>
      </c>
      <c r="D858" t="s">
        <v>55</v>
      </c>
      <c r="E858" t="s">
        <v>40</v>
      </c>
      <c r="F858" s="3">
        <v>43950</v>
      </c>
      <c r="G858" s="3">
        <v>44272</v>
      </c>
      <c r="H858" t="s">
        <v>2638</v>
      </c>
      <c r="I858" t="s">
        <v>33</v>
      </c>
      <c r="N858" s="3"/>
      <c r="O858" t="s">
        <v>2639</v>
      </c>
      <c r="Q858" s="3"/>
      <c r="R858" s="3"/>
      <c r="S858" s="3"/>
      <c r="T858" t="s">
        <v>36</v>
      </c>
      <c r="V858" s="3"/>
      <c r="W858" s="3"/>
      <c r="X858" s="3"/>
      <c r="Y858" s="3"/>
      <c r="Z858" s="3"/>
      <c r="AA858" s="3"/>
      <c r="AB858" s="3"/>
    </row>
    <row r="859" spans="1:28" x14ac:dyDescent="0.3">
      <c r="A859" s="2" t="str">
        <f>HYPERLINK("https://www.cadth.ca/sofosbuvir-velpatasvir-voxilaprevir", "Vosevi")</f>
        <v>Vosevi</v>
      </c>
      <c r="B859" t="s">
        <v>2640</v>
      </c>
      <c r="C859" t="s">
        <v>825</v>
      </c>
      <c r="D859" t="s">
        <v>55</v>
      </c>
      <c r="E859" t="s">
        <v>40</v>
      </c>
      <c r="F859" s="3">
        <v>42944</v>
      </c>
      <c r="G859" s="3">
        <v>43123</v>
      </c>
      <c r="H859" t="s">
        <v>2641</v>
      </c>
      <c r="I859" t="s">
        <v>33</v>
      </c>
      <c r="N859" s="3"/>
      <c r="O859" t="s">
        <v>396</v>
      </c>
      <c r="Q859" s="3"/>
      <c r="R859" s="3"/>
      <c r="S859" s="3"/>
      <c r="T859" t="s">
        <v>36</v>
      </c>
      <c r="V859" s="3"/>
      <c r="W859" s="3"/>
      <c r="X859" s="3"/>
      <c r="Y859" s="3"/>
      <c r="Z859" s="3"/>
      <c r="AA859" s="3"/>
      <c r="AB859" s="3"/>
    </row>
    <row r="860" spans="1:28" x14ac:dyDescent="0.3">
      <c r="A860" s="2" t="str">
        <f>HYPERLINK("https://www.cadth.ca/node/79681", "Votrient")</f>
        <v>Votrient</v>
      </c>
      <c r="B860" t="s">
        <v>2642</v>
      </c>
      <c r="C860" t="s">
        <v>1153</v>
      </c>
      <c r="D860" t="s">
        <v>109</v>
      </c>
      <c r="E860" t="s">
        <v>40</v>
      </c>
      <c r="F860" s="3">
        <v>41325</v>
      </c>
      <c r="G860" s="3">
        <v>41515</v>
      </c>
      <c r="H860" t="s">
        <v>2643</v>
      </c>
      <c r="I860" t="s">
        <v>33</v>
      </c>
      <c r="J860" t="s">
        <v>1345</v>
      </c>
      <c r="K860" t="s">
        <v>367</v>
      </c>
      <c r="L860" t="s">
        <v>2644</v>
      </c>
      <c r="N860" s="3">
        <v>40325</v>
      </c>
      <c r="O860" t="s">
        <v>259</v>
      </c>
      <c r="P860" t="s">
        <v>259</v>
      </c>
      <c r="Q860" s="3"/>
      <c r="R860" s="3"/>
      <c r="S860" s="3">
        <v>41339</v>
      </c>
      <c r="U860" t="s">
        <v>62</v>
      </c>
      <c r="V860" s="3">
        <v>41339</v>
      </c>
      <c r="W860" s="3">
        <v>41388</v>
      </c>
      <c r="X860" s="3">
        <v>41445</v>
      </c>
      <c r="Y860" s="3">
        <v>41460</v>
      </c>
      <c r="Z860" s="3">
        <v>41474</v>
      </c>
      <c r="AA860" s="3"/>
      <c r="AB860" s="3">
        <v>41533</v>
      </c>
    </row>
    <row r="861" spans="1:28" x14ac:dyDescent="0.3">
      <c r="A861" s="2" t="str">
        <f>HYPERLINK("https://www.cadth.ca/node/79680", "Votrient")</f>
        <v>Votrient</v>
      </c>
      <c r="B861" t="s">
        <v>2642</v>
      </c>
      <c r="C861" t="s">
        <v>1153</v>
      </c>
      <c r="D861" t="s">
        <v>109</v>
      </c>
      <c r="E861" t="s">
        <v>40</v>
      </c>
      <c r="F861" s="3">
        <v>40738</v>
      </c>
      <c r="G861" s="3">
        <v>40913</v>
      </c>
      <c r="H861" t="s">
        <v>2645</v>
      </c>
      <c r="I861" t="s">
        <v>33</v>
      </c>
      <c r="J861" t="s">
        <v>1345</v>
      </c>
      <c r="K861" t="s">
        <v>367</v>
      </c>
      <c r="L861" t="s">
        <v>2646</v>
      </c>
      <c r="N861" s="3">
        <v>40325</v>
      </c>
      <c r="O861" t="s">
        <v>259</v>
      </c>
      <c r="P861" t="s">
        <v>259</v>
      </c>
      <c r="Q861" s="3"/>
      <c r="R861" s="3"/>
      <c r="S861" s="3">
        <v>40745</v>
      </c>
      <c r="U861" t="s">
        <v>62</v>
      </c>
      <c r="V861" s="3">
        <v>40752</v>
      </c>
      <c r="W861" s="3">
        <v>40788</v>
      </c>
      <c r="X861" s="3">
        <v>40836</v>
      </c>
      <c r="Y861" s="3">
        <v>40850</v>
      </c>
      <c r="Z861" s="3">
        <v>40865</v>
      </c>
      <c r="AA861" s="3"/>
      <c r="AB861" s="3">
        <v>40928</v>
      </c>
    </row>
    <row r="862" spans="1:28" x14ac:dyDescent="0.3">
      <c r="A862" s="2" t="str">
        <f>HYPERLINK("https://www.cadth.ca/node/79682", "Votrient")</f>
        <v>Votrient</v>
      </c>
      <c r="B862" t="s">
        <v>2647</v>
      </c>
      <c r="C862" t="s">
        <v>2648</v>
      </c>
      <c r="D862" t="s">
        <v>127</v>
      </c>
      <c r="E862" t="s">
        <v>40</v>
      </c>
      <c r="F862" s="3">
        <v>41064</v>
      </c>
      <c r="G862" s="3">
        <v>41242</v>
      </c>
      <c r="H862" t="s">
        <v>2649</v>
      </c>
      <c r="I862" t="s">
        <v>33</v>
      </c>
      <c r="J862" t="s">
        <v>1345</v>
      </c>
      <c r="K862" t="s">
        <v>1400</v>
      </c>
      <c r="L862" t="s">
        <v>2650</v>
      </c>
      <c r="M862" t="s">
        <v>60</v>
      </c>
      <c r="N862" s="3">
        <v>41102</v>
      </c>
      <c r="O862" t="s">
        <v>259</v>
      </c>
      <c r="P862" t="s">
        <v>259</v>
      </c>
      <c r="Q862" s="3"/>
      <c r="R862" s="3"/>
      <c r="S862" s="3">
        <v>41071</v>
      </c>
      <c r="U862" t="s">
        <v>62</v>
      </c>
      <c r="V862" s="3">
        <v>41078</v>
      </c>
      <c r="W862" s="3">
        <v>41114</v>
      </c>
      <c r="X862" s="3">
        <v>41172</v>
      </c>
      <c r="Y862" s="3">
        <v>41186</v>
      </c>
      <c r="Z862" s="3">
        <v>41201</v>
      </c>
      <c r="AA862" s="3"/>
      <c r="AB862" s="3">
        <v>41257</v>
      </c>
    </row>
    <row r="863" spans="1:28" x14ac:dyDescent="0.3">
      <c r="A863" s="2" t="str">
        <f>HYPERLINK("https://www.cadth.ca/velaglucerase-alfa", "VPRIV")</f>
        <v>VPRIV</v>
      </c>
      <c r="B863" t="s">
        <v>2651</v>
      </c>
      <c r="C863" t="s">
        <v>2652</v>
      </c>
      <c r="D863" t="s">
        <v>46</v>
      </c>
      <c r="E863" t="s">
        <v>40</v>
      </c>
      <c r="F863" s="3">
        <v>40479</v>
      </c>
      <c r="G863" s="3">
        <v>40658</v>
      </c>
      <c r="H863" t="s">
        <v>2653</v>
      </c>
      <c r="I863" t="s">
        <v>33</v>
      </c>
      <c r="N863" s="3"/>
      <c r="O863" t="s">
        <v>2654</v>
      </c>
      <c r="Q863" s="3"/>
      <c r="R863" s="3"/>
      <c r="S863" s="3"/>
      <c r="T863" t="s">
        <v>36</v>
      </c>
      <c r="V863" s="3"/>
      <c r="W863" s="3"/>
      <c r="X863" s="3"/>
      <c r="Y863" s="3"/>
      <c r="Z863" s="3"/>
      <c r="AA863" s="3"/>
      <c r="AB863" s="3"/>
    </row>
    <row r="864" spans="1:28" x14ac:dyDescent="0.3">
      <c r="A864" s="2" t="str">
        <f>HYPERLINK("https://www.cadth.ca/tafamidis", "Vyndaqel")</f>
        <v>Vyndaqel</v>
      </c>
      <c r="B864" t="s">
        <v>2655</v>
      </c>
      <c r="C864" t="s">
        <v>2656</v>
      </c>
      <c r="D864" t="s">
        <v>55</v>
      </c>
      <c r="E864" t="s">
        <v>40</v>
      </c>
      <c r="F864" s="3">
        <v>43650</v>
      </c>
      <c r="G864" s="3">
        <v>43880</v>
      </c>
      <c r="H864" t="s">
        <v>2657</v>
      </c>
      <c r="I864" t="s">
        <v>33</v>
      </c>
      <c r="N864" s="3"/>
      <c r="O864" t="s">
        <v>1481</v>
      </c>
      <c r="Q864" s="3"/>
      <c r="R864" s="3"/>
      <c r="S864" s="3"/>
      <c r="T864" t="s">
        <v>36</v>
      </c>
      <c r="V864" s="3"/>
      <c r="W864" s="3"/>
      <c r="X864" s="3"/>
      <c r="Y864" s="3"/>
      <c r="Z864" s="3"/>
      <c r="AA864" s="3"/>
      <c r="AB864" s="3"/>
    </row>
    <row r="865" spans="1:29" x14ac:dyDescent="0.3">
      <c r="A865" s="2" t="str">
        <f>HYPERLINK("https://www.cadth.ca/lisdexamfetamine-dimesylate", "Vyvanse")</f>
        <v>Vyvanse</v>
      </c>
      <c r="B865" t="s">
        <v>2658</v>
      </c>
      <c r="C865" t="s">
        <v>135</v>
      </c>
      <c r="D865" t="s">
        <v>39</v>
      </c>
      <c r="E865" t="s">
        <v>40</v>
      </c>
      <c r="F865" s="3">
        <v>40004</v>
      </c>
      <c r="G865" s="3">
        <v>40165</v>
      </c>
      <c r="H865" t="s">
        <v>2659</v>
      </c>
      <c r="I865" t="s">
        <v>33</v>
      </c>
      <c r="N865" s="3"/>
      <c r="O865" t="s">
        <v>140</v>
      </c>
      <c r="Q865" s="3"/>
      <c r="R865" s="3"/>
      <c r="S865" s="3"/>
      <c r="T865" t="s">
        <v>36</v>
      </c>
      <c r="V865" s="3"/>
      <c r="W865" s="3"/>
      <c r="X865" s="3"/>
      <c r="Y865" s="3"/>
      <c r="Z865" s="3"/>
      <c r="AA865" s="3"/>
      <c r="AB865" s="3"/>
    </row>
    <row r="866" spans="1:29" x14ac:dyDescent="0.3">
      <c r="A866" s="2" t="str">
        <f>HYPERLINK("https://www.cadth.ca/daunorubicin-and-cytarabine-0", "Vyxeos")</f>
        <v>Vyxeos</v>
      </c>
      <c r="B866" t="s">
        <v>2660</v>
      </c>
      <c r="C866" t="s">
        <v>1732</v>
      </c>
      <c r="D866" t="s">
        <v>55</v>
      </c>
      <c r="E866" t="s">
        <v>31</v>
      </c>
      <c r="F866" s="3">
        <v>44218</v>
      </c>
      <c r="G866" s="3">
        <v>44432</v>
      </c>
      <c r="H866" t="s">
        <v>2661</v>
      </c>
      <c r="I866" t="s">
        <v>33</v>
      </c>
      <c r="K866" t="s">
        <v>284</v>
      </c>
      <c r="N866" s="3"/>
      <c r="O866" t="s">
        <v>2662</v>
      </c>
      <c r="Q866" s="3"/>
      <c r="R866" s="3"/>
      <c r="S866" s="3"/>
      <c r="T866" t="s">
        <v>36</v>
      </c>
      <c r="V866" s="3"/>
      <c r="W866" s="3"/>
      <c r="X866" s="3"/>
      <c r="Y866" s="3"/>
      <c r="Z866" s="3"/>
      <c r="AA866" s="3"/>
      <c r="AB866" s="3"/>
    </row>
    <row r="867" spans="1:29" x14ac:dyDescent="0.3">
      <c r="A867" s="2" t="str">
        <f>HYPERLINK("https://www.cadth.ca/latanoprostene-bunod", "Vyzulta")</f>
        <v>Vyzulta</v>
      </c>
      <c r="B867" t="s">
        <v>2663</v>
      </c>
      <c r="C867" t="s">
        <v>2664</v>
      </c>
      <c r="D867" t="s">
        <v>55</v>
      </c>
      <c r="E867" t="s">
        <v>40</v>
      </c>
      <c r="F867" s="3">
        <v>43427</v>
      </c>
      <c r="G867" s="3">
        <v>43670</v>
      </c>
      <c r="H867" t="s">
        <v>2665</v>
      </c>
      <c r="I867" t="s">
        <v>33</v>
      </c>
      <c r="N867" s="3"/>
      <c r="O867" t="s">
        <v>593</v>
      </c>
      <c r="Q867" s="3"/>
      <c r="R867" s="3"/>
      <c r="S867" s="3"/>
      <c r="T867" t="s">
        <v>36</v>
      </c>
      <c r="V867" s="3"/>
      <c r="W867" s="3"/>
      <c r="X867" s="3"/>
      <c r="Y867" s="3"/>
      <c r="Z867" s="3"/>
      <c r="AA867" s="3"/>
      <c r="AB867" s="3"/>
    </row>
    <row r="868" spans="1:29" x14ac:dyDescent="0.3">
      <c r="A868" s="2" t="str">
        <f>HYPERLINK("https://www.cadth.ca/trientine-hydrochloride-0", "Waymade-Trientine")</f>
        <v>Waymade-Trientine</v>
      </c>
      <c r="B868" t="s">
        <v>2666</v>
      </c>
      <c r="C868" t="s">
        <v>1526</v>
      </c>
      <c r="E868" t="s">
        <v>31</v>
      </c>
      <c r="F868" s="3">
        <v>44398</v>
      </c>
      <c r="G868" s="3"/>
      <c r="H868" t="s">
        <v>2667</v>
      </c>
      <c r="I868" t="s">
        <v>33</v>
      </c>
      <c r="K868" t="s">
        <v>391</v>
      </c>
      <c r="N868" s="3"/>
      <c r="O868" t="s">
        <v>2668</v>
      </c>
      <c r="Q868" s="3"/>
      <c r="R868" s="3"/>
      <c r="S868" s="3"/>
      <c r="T868" t="s">
        <v>36</v>
      </c>
      <c r="V868" s="3"/>
      <c r="W868" s="3"/>
      <c r="X868" s="3"/>
      <c r="Y868" s="3"/>
      <c r="Z868" s="3"/>
      <c r="AA868" s="3"/>
      <c r="AB868" s="3"/>
    </row>
    <row r="869" spans="1:29" x14ac:dyDescent="0.3">
      <c r="A869" s="2" t="str">
        <f>HYPERLINK("https://www.cadth.ca/node/79684", "Xalkori")</f>
        <v>Xalkori</v>
      </c>
      <c r="B869" t="s">
        <v>2669</v>
      </c>
      <c r="C869" t="s">
        <v>991</v>
      </c>
      <c r="D869" t="s">
        <v>55</v>
      </c>
      <c r="E869" t="s">
        <v>40</v>
      </c>
      <c r="F869" s="3">
        <v>41205</v>
      </c>
      <c r="G869" s="3">
        <v>41396</v>
      </c>
      <c r="H869" t="s">
        <v>2670</v>
      </c>
      <c r="I869" t="s">
        <v>33</v>
      </c>
      <c r="J869" t="s">
        <v>2671</v>
      </c>
      <c r="K869" t="s">
        <v>205</v>
      </c>
      <c r="L869" t="s">
        <v>2672</v>
      </c>
      <c r="N869" s="3">
        <v>41024</v>
      </c>
      <c r="O869" t="s">
        <v>387</v>
      </c>
      <c r="P869" t="s">
        <v>387</v>
      </c>
      <c r="Q869" s="3"/>
      <c r="R869" s="3"/>
      <c r="S869" s="3">
        <v>41215</v>
      </c>
      <c r="U869" t="s">
        <v>62</v>
      </c>
      <c r="V869" s="3"/>
      <c r="W869" s="3">
        <v>41262</v>
      </c>
      <c r="X869" s="3">
        <v>41326</v>
      </c>
      <c r="Y869" s="3">
        <v>41340</v>
      </c>
      <c r="Z869" s="3">
        <v>41354</v>
      </c>
      <c r="AA869" s="3"/>
      <c r="AB869" s="3">
        <v>41411</v>
      </c>
      <c r="AC869" t="s">
        <v>2673</v>
      </c>
    </row>
    <row r="870" spans="1:29" x14ac:dyDescent="0.3">
      <c r="A870" s="2" t="str">
        <f>HYPERLINK("https://www.cadth.ca/node/110630", "Xalkori")</f>
        <v>Xalkori</v>
      </c>
      <c r="B870" t="s">
        <v>2669</v>
      </c>
      <c r="C870" t="s">
        <v>2674</v>
      </c>
      <c r="D870" t="s">
        <v>55</v>
      </c>
      <c r="E870" t="s">
        <v>40</v>
      </c>
      <c r="F870" s="3">
        <v>43403</v>
      </c>
      <c r="G870" s="3">
        <v>43608</v>
      </c>
      <c r="H870" t="s">
        <v>2675</v>
      </c>
      <c r="I870" t="s">
        <v>33</v>
      </c>
      <c r="J870" t="s">
        <v>2676</v>
      </c>
      <c r="K870" t="s">
        <v>205</v>
      </c>
      <c r="L870" t="s">
        <v>2677</v>
      </c>
      <c r="N870" s="3">
        <v>42975</v>
      </c>
      <c r="O870" t="s">
        <v>387</v>
      </c>
      <c r="P870" t="s">
        <v>2678</v>
      </c>
      <c r="Q870" s="3"/>
      <c r="R870" s="3"/>
      <c r="S870" s="3">
        <v>43417</v>
      </c>
      <c r="V870" s="3">
        <v>43417</v>
      </c>
      <c r="W870" s="3">
        <v>43487</v>
      </c>
      <c r="X870" s="3">
        <v>43573</v>
      </c>
      <c r="Y870" s="3">
        <v>43588</v>
      </c>
      <c r="Z870" s="3">
        <v>43602</v>
      </c>
      <c r="AA870" s="3"/>
      <c r="AB870" s="3">
        <v>43623</v>
      </c>
    </row>
    <row r="871" spans="1:29" x14ac:dyDescent="0.3">
      <c r="A871" s="2" t="str">
        <f>HYPERLINK("https://www.cadth.ca/node/79685", "Xalkori")</f>
        <v>Xalkori</v>
      </c>
      <c r="B871" t="s">
        <v>2669</v>
      </c>
      <c r="C871" t="s">
        <v>2679</v>
      </c>
      <c r="D871" t="s">
        <v>55</v>
      </c>
      <c r="E871" t="s">
        <v>40</v>
      </c>
      <c r="F871" s="3">
        <v>42052</v>
      </c>
      <c r="G871" s="3">
        <v>42206</v>
      </c>
      <c r="H871" t="s">
        <v>2680</v>
      </c>
      <c r="I871" t="s">
        <v>33</v>
      </c>
      <c r="J871" t="s">
        <v>2681</v>
      </c>
      <c r="K871" t="s">
        <v>205</v>
      </c>
      <c r="L871" t="s">
        <v>2682</v>
      </c>
      <c r="N871" s="3">
        <v>41024</v>
      </c>
      <c r="O871" t="s">
        <v>387</v>
      </c>
      <c r="P871" t="s">
        <v>387</v>
      </c>
      <c r="Q871" s="3"/>
      <c r="R871" s="3"/>
      <c r="S871" s="3">
        <v>42066</v>
      </c>
      <c r="U871" t="s">
        <v>62</v>
      </c>
      <c r="V871" s="3">
        <v>42066</v>
      </c>
      <c r="W871" s="3">
        <v>42115</v>
      </c>
      <c r="X871" s="3">
        <v>42173</v>
      </c>
      <c r="Y871" s="3">
        <v>42188</v>
      </c>
      <c r="Z871" s="3">
        <v>42202</v>
      </c>
      <c r="AA871" s="3"/>
      <c r="AB871" s="3">
        <v>42222</v>
      </c>
    </row>
    <row r="872" spans="1:29" x14ac:dyDescent="0.3">
      <c r="A872" s="2" t="str">
        <f>HYPERLINK("https://www.cadth.ca/node/79683", "Xalkori")</f>
        <v>Xalkori</v>
      </c>
      <c r="B872" t="s">
        <v>2669</v>
      </c>
      <c r="C872" t="s">
        <v>2683</v>
      </c>
      <c r="D872" t="s">
        <v>127</v>
      </c>
      <c r="E872" t="s">
        <v>40</v>
      </c>
      <c r="F872" s="3">
        <v>40994</v>
      </c>
      <c r="G872" s="3">
        <v>41186</v>
      </c>
      <c r="H872" t="s">
        <v>2684</v>
      </c>
      <c r="I872" t="s">
        <v>33</v>
      </c>
      <c r="J872" t="s">
        <v>2671</v>
      </c>
      <c r="K872" t="s">
        <v>205</v>
      </c>
      <c r="L872" t="s">
        <v>2685</v>
      </c>
      <c r="M872" t="s">
        <v>60</v>
      </c>
      <c r="N872" s="3">
        <v>41024</v>
      </c>
      <c r="O872" t="s">
        <v>387</v>
      </c>
      <c r="P872" t="s">
        <v>387</v>
      </c>
      <c r="Q872" s="3"/>
      <c r="R872" s="3"/>
      <c r="S872" s="3">
        <v>41010</v>
      </c>
      <c r="U872" t="s">
        <v>62</v>
      </c>
      <c r="V872" s="3">
        <v>41010</v>
      </c>
      <c r="W872" s="3">
        <v>41052</v>
      </c>
      <c r="X872" s="3">
        <v>41109</v>
      </c>
      <c r="Y872" s="3">
        <v>41123</v>
      </c>
      <c r="Z872" s="3">
        <v>41138</v>
      </c>
      <c r="AA872" s="3"/>
      <c r="AB872" s="3">
        <v>41204</v>
      </c>
    </row>
    <row r="873" spans="1:29" x14ac:dyDescent="0.3">
      <c r="A873" s="2" t="str">
        <f>HYPERLINK("https://www.cadth.ca/rivaroxaban-0", "Xarelto")</f>
        <v>Xarelto</v>
      </c>
      <c r="B873" t="s">
        <v>2686</v>
      </c>
      <c r="C873" t="s">
        <v>2687</v>
      </c>
      <c r="E873" t="s">
        <v>40</v>
      </c>
      <c r="F873" s="3">
        <v>40718</v>
      </c>
      <c r="G873" s="3"/>
      <c r="H873" t="s">
        <v>2688</v>
      </c>
      <c r="I873" t="s">
        <v>33</v>
      </c>
      <c r="N873" s="3"/>
      <c r="O873" t="s">
        <v>146</v>
      </c>
      <c r="Q873" s="3"/>
      <c r="R873" s="3"/>
      <c r="S873" s="3"/>
      <c r="T873" t="s">
        <v>49</v>
      </c>
      <c r="V873" s="3"/>
      <c r="W873" s="3"/>
      <c r="X873" s="3"/>
      <c r="Y873" s="3"/>
      <c r="Z873" s="3"/>
      <c r="AA873" s="3"/>
      <c r="AB873" s="3"/>
    </row>
    <row r="874" spans="1:29" x14ac:dyDescent="0.3">
      <c r="A874" s="2" t="str">
        <f>HYPERLINK("https://www.cadth.ca/rivaroxaban-4", "Xarelto")</f>
        <v>Xarelto</v>
      </c>
      <c r="B874" t="s">
        <v>2686</v>
      </c>
      <c r="D874" t="s">
        <v>46</v>
      </c>
      <c r="E874" t="s">
        <v>40</v>
      </c>
      <c r="F874" s="3">
        <v>41351</v>
      </c>
      <c r="G874" s="3">
        <v>41473</v>
      </c>
      <c r="H874" t="s">
        <v>2689</v>
      </c>
      <c r="I874" t="s">
        <v>33</v>
      </c>
      <c r="N874" s="3"/>
      <c r="O874" t="s">
        <v>146</v>
      </c>
      <c r="Q874" s="3"/>
      <c r="R874" s="3"/>
      <c r="S874" s="3"/>
      <c r="T874" t="s">
        <v>49</v>
      </c>
      <c r="V874" s="3"/>
      <c r="W874" s="3"/>
      <c r="X874" s="3"/>
      <c r="Y874" s="3"/>
      <c r="Z874" s="3"/>
      <c r="AA874" s="3"/>
      <c r="AB874" s="3"/>
    </row>
    <row r="875" spans="1:29" x14ac:dyDescent="0.3">
      <c r="A875" s="2" t="str">
        <f>HYPERLINK("https://www.cadth.ca/rivaroxaban-5", "Xarelto")</f>
        <v>Xarelto</v>
      </c>
      <c r="B875" t="s">
        <v>2686</v>
      </c>
      <c r="C875" t="s">
        <v>2690</v>
      </c>
      <c r="D875" t="s">
        <v>50</v>
      </c>
      <c r="E875" t="s">
        <v>40</v>
      </c>
      <c r="F875" s="3">
        <v>41400</v>
      </c>
      <c r="G875" s="3">
        <v>41724</v>
      </c>
      <c r="H875" t="s">
        <v>2691</v>
      </c>
      <c r="I875" t="s">
        <v>33</v>
      </c>
      <c r="N875" s="3"/>
      <c r="O875" t="s">
        <v>146</v>
      </c>
      <c r="Q875" s="3"/>
      <c r="R875" s="3"/>
      <c r="S875" s="3"/>
      <c r="T875" t="s">
        <v>36</v>
      </c>
      <c r="V875" s="3"/>
      <c r="W875" s="3"/>
      <c r="X875" s="3"/>
      <c r="Y875" s="3"/>
      <c r="Z875" s="3"/>
      <c r="AA875" s="3"/>
      <c r="AB875" s="3"/>
    </row>
    <row r="876" spans="1:29" x14ac:dyDescent="0.3">
      <c r="A876" s="2" t="str">
        <f>HYPERLINK("https://www.cadth.ca/rivaroxaban-6", "Xarelto")</f>
        <v>Xarelto</v>
      </c>
      <c r="B876" t="s">
        <v>2692</v>
      </c>
      <c r="C876" t="s">
        <v>2693</v>
      </c>
      <c r="D876" t="s">
        <v>55</v>
      </c>
      <c r="E876" t="s">
        <v>40</v>
      </c>
      <c r="F876" s="3">
        <v>43244</v>
      </c>
      <c r="G876" s="3">
        <v>43424</v>
      </c>
      <c r="H876" t="s">
        <v>2694</v>
      </c>
      <c r="I876" t="s">
        <v>33</v>
      </c>
      <c r="N876" s="3"/>
      <c r="O876" t="s">
        <v>146</v>
      </c>
      <c r="Q876" s="3"/>
      <c r="R876" s="3"/>
      <c r="S876" s="3"/>
      <c r="T876" t="s">
        <v>36</v>
      </c>
      <c r="V876" s="3"/>
      <c r="W876" s="3"/>
      <c r="X876" s="3"/>
      <c r="Y876" s="3"/>
      <c r="Z876" s="3"/>
      <c r="AA876" s="3"/>
      <c r="AB876" s="3"/>
    </row>
    <row r="877" spans="1:29" x14ac:dyDescent="0.3">
      <c r="A877" s="2" t="str">
        <f>HYPERLINK("https://www.cadth.ca/rivaroxaban-2", "Xarelto")</f>
        <v>Xarelto</v>
      </c>
      <c r="B877" t="s">
        <v>2686</v>
      </c>
      <c r="C877" t="s">
        <v>2695</v>
      </c>
      <c r="D877" t="s">
        <v>46</v>
      </c>
      <c r="E877" t="s">
        <v>40</v>
      </c>
      <c r="F877" s="3">
        <v>40966</v>
      </c>
      <c r="G877" s="3">
        <v>41137</v>
      </c>
      <c r="H877" t="s">
        <v>2696</v>
      </c>
      <c r="I877" t="s">
        <v>33</v>
      </c>
      <c r="N877" s="3"/>
      <c r="O877" t="s">
        <v>146</v>
      </c>
      <c r="Q877" s="3"/>
      <c r="R877" s="3"/>
      <c r="S877" s="3"/>
      <c r="T877" t="s">
        <v>36</v>
      </c>
      <c r="V877" s="3"/>
      <c r="W877" s="3"/>
      <c r="X877" s="3"/>
      <c r="Y877" s="3"/>
      <c r="Z877" s="3"/>
      <c r="AA877" s="3"/>
      <c r="AB877" s="3"/>
    </row>
    <row r="878" spans="1:29" x14ac:dyDescent="0.3">
      <c r="A878" s="2" t="str">
        <f>HYPERLINK("https://www.cadth.ca/rivaroxaban-3", "Xarelto")</f>
        <v>Xarelto</v>
      </c>
      <c r="B878" t="s">
        <v>2686</v>
      </c>
      <c r="C878" t="s">
        <v>2695</v>
      </c>
      <c r="E878" t="s">
        <v>40</v>
      </c>
      <c r="F878" s="3">
        <v>41192</v>
      </c>
      <c r="G878" s="3"/>
      <c r="H878" t="s">
        <v>2697</v>
      </c>
      <c r="I878" t="s">
        <v>33</v>
      </c>
      <c r="N878" s="3"/>
      <c r="O878" t="s">
        <v>146</v>
      </c>
      <c r="Q878" s="3"/>
      <c r="R878" s="3"/>
      <c r="S878" s="3"/>
      <c r="T878" t="s">
        <v>49</v>
      </c>
      <c r="V878" s="3"/>
      <c r="W878" s="3"/>
      <c r="X878" s="3"/>
      <c r="Y878" s="3"/>
      <c r="Z878" s="3"/>
      <c r="AA878" s="3"/>
      <c r="AB878" s="3"/>
    </row>
    <row r="879" spans="1:29" x14ac:dyDescent="0.3">
      <c r="A879" s="2" t="str">
        <f>HYPERLINK("https://www.cadth.ca/rivaroxaban", "Xarelto")</f>
        <v>Xarelto</v>
      </c>
      <c r="B879" t="s">
        <v>2686</v>
      </c>
      <c r="C879" t="s">
        <v>1887</v>
      </c>
      <c r="D879" t="s">
        <v>46</v>
      </c>
      <c r="E879" t="s">
        <v>40</v>
      </c>
      <c r="F879" s="3">
        <v>39575</v>
      </c>
      <c r="G879" s="3">
        <v>39799</v>
      </c>
      <c r="H879" t="s">
        <v>2698</v>
      </c>
      <c r="I879" t="s">
        <v>33</v>
      </c>
      <c r="N879" s="3"/>
      <c r="O879" t="s">
        <v>146</v>
      </c>
      <c r="Q879" s="3"/>
      <c r="R879" s="3"/>
      <c r="S879" s="3"/>
      <c r="T879" t="s">
        <v>36</v>
      </c>
      <c r="V879" s="3"/>
      <c r="W879" s="3"/>
      <c r="X879" s="3"/>
      <c r="Y879" s="3"/>
      <c r="Z879" s="3"/>
      <c r="AA879" s="3"/>
      <c r="AB879" s="3"/>
    </row>
    <row r="880" spans="1:29" x14ac:dyDescent="0.3">
      <c r="A880" s="2" t="str">
        <f>HYPERLINK("https://www.cadth.ca/rivaroxaban-1", "Xarelto")</f>
        <v>Xarelto</v>
      </c>
      <c r="B880" t="s">
        <v>2686</v>
      </c>
      <c r="C880" t="s">
        <v>2699</v>
      </c>
      <c r="D880" t="s">
        <v>46</v>
      </c>
      <c r="E880" t="s">
        <v>40</v>
      </c>
      <c r="F880" s="3">
        <v>40837</v>
      </c>
      <c r="G880" s="3">
        <v>41018</v>
      </c>
      <c r="H880" t="s">
        <v>2700</v>
      </c>
      <c r="I880" t="s">
        <v>33</v>
      </c>
      <c r="N880" s="3"/>
      <c r="O880" t="s">
        <v>146</v>
      </c>
      <c r="Q880" s="3"/>
      <c r="R880" s="3"/>
      <c r="S880" s="3"/>
      <c r="T880" t="s">
        <v>36</v>
      </c>
      <c r="V880" s="3"/>
      <c r="W880" s="3"/>
      <c r="X880" s="3"/>
      <c r="Y880" s="3"/>
      <c r="Z880" s="3"/>
      <c r="AA880" s="3"/>
      <c r="AB880" s="3"/>
    </row>
    <row r="881" spans="1:28" x14ac:dyDescent="0.3">
      <c r="A881" s="2" t="str">
        <f>HYPERLINK("https://www.cadth.ca/tofacitinib", "Xeljanz")</f>
        <v>Xeljanz</v>
      </c>
      <c r="B881" t="s">
        <v>2701</v>
      </c>
      <c r="C881" t="s">
        <v>78</v>
      </c>
      <c r="D881" t="s">
        <v>50</v>
      </c>
      <c r="E881" t="s">
        <v>40</v>
      </c>
      <c r="F881" s="3">
        <v>41764</v>
      </c>
      <c r="G881" s="3">
        <v>42111</v>
      </c>
      <c r="H881" t="s">
        <v>2702</v>
      </c>
      <c r="I881" t="s">
        <v>33</v>
      </c>
      <c r="N881" s="3"/>
      <c r="O881" t="s">
        <v>387</v>
      </c>
      <c r="Q881" s="3"/>
      <c r="R881" s="3"/>
      <c r="S881" s="3"/>
      <c r="T881" t="s">
        <v>36</v>
      </c>
      <c r="V881" s="3"/>
      <c r="W881" s="3"/>
      <c r="X881" s="3"/>
      <c r="Y881" s="3"/>
      <c r="Z881" s="3"/>
      <c r="AA881" s="3"/>
      <c r="AB881" s="3"/>
    </row>
    <row r="882" spans="1:28" x14ac:dyDescent="0.3">
      <c r="A882" s="2" t="str">
        <f>HYPERLINK("https://www.cadth.ca/tofacitinib-0", "Xeljanz")</f>
        <v>Xeljanz</v>
      </c>
      <c r="B882" t="s">
        <v>2703</v>
      </c>
      <c r="C882" t="s">
        <v>822</v>
      </c>
      <c r="D882" t="s">
        <v>55</v>
      </c>
      <c r="E882" t="s">
        <v>40</v>
      </c>
      <c r="F882" s="3">
        <v>43278</v>
      </c>
      <c r="G882" s="3">
        <v>43523</v>
      </c>
      <c r="H882" t="s">
        <v>2704</v>
      </c>
      <c r="I882" t="s">
        <v>33</v>
      </c>
      <c r="N882" s="3"/>
      <c r="O882" t="s">
        <v>387</v>
      </c>
      <c r="Q882" s="3"/>
      <c r="R882" s="3"/>
      <c r="S882" s="3"/>
      <c r="T882" t="s">
        <v>36</v>
      </c>
      <c r="V882" s="3"/>
      <c r="W882" s="3"/>
      <c r="X882" s="3"/>
      <c r="Y882" s="3"/>
      <c r="Z882" s="3"/>
      <c r="AA882" s="3"/>
      <c r="AB882" s="3"/>
    </row>
    <row r="883" spans="1:28" x14ac:dyDescent="0.3">
      <c r="A883" s="2" t="str">
        <f>HYPERLINK("https://www.cadth.ca/tofacitinib-1", "Xeljanz")</f>
        <v>Xeljanz</v>
      </c>
      <c r="B883" t="s">
        <v>2703</v>
      </c>
      <c r="E883" t="s">
        <v>154</v>
      </c>
      <c r="F883" s="3"/>
      <c r="G883" s="3"/>
      <c r="H883" t="s">
        <v>2705</v>
      </c>
      <c r="I883" t="s">
        <v>33</v>
      </c>
      <c r="N883" s="3"/>
      <c r="O883" t="s">
        <v>387</v>
      </c>
      <c r="Q883" s="3"/>
      <c r="R883" s="3"/>
      <c r="S883" s="3"/>
      <c r="T883" t="s">
        <v>36</v>
      </c>
      <c r="V883" s="3"/>
      <c r="W883" s="3"/>
      <c r="X883" s="3"/>
      <c r="Y883" s="3"/>
      <c r="Z883" s="3"/>
      <c r="AA883" s="3"/>
      <c r="AB883" s="3"/>
    </row>
    <row r="884" spans="1:28" x14ac:dyDescent="0.3">
      <c r="A884" s="2" t="str">
        <f>HYPERLINK("https://www.cadth.ca/clostridium-botulinum-neurotoxin-type-free-complexing-proteins", "Xeomin")</f>
        <v>Xeomin</v>
      </c>
      <c r="B884" t="s">
        <v>2706</v>
      </c>
      <c r="C884" t="s">
        <v>2707</v>
      </c>
      <c r="D884" t="s">
        <v>1703</v>
      </c>
      <c r="E884" t="s">
        <v>40</v>
      </c>
      <c r="F884" s="3">
        <v>39976</v>
      </c>
      <c r="G884" s="3">
        <v>40163</v>
      </c>
      <c r="H884" t="s">
        <v>2708</v>
      </c>
      <c r="I884" t="s">
        <v>33</v>
      </c>
      <c r="N884" s="3"/>
      <c r="O884" t="s">
        <v>2709</v>
      </c>
      <c r="Q884" s="3"/>
      <c r="R884" s="3"/>
      <c r="S884" s="3"/>
      <c r="T884" t="s">
        <v>36</v>
      </c>
      <c r="V884" s="3"/>
      <c r="W884" s="3"/>
      <c r="X884" s="3"/>
      <c r="Y884" s="3"/>
      <c r="Z884" s="3"/>
      <c r="AA884" s="3"/>
      <c r="AB884" s="3"/>
    </row>
    <row r="885" spans="1:28" x14ac:dyDescent="0.3">
      <c r="A885" s="2" t="str">
        <f>HYPERLINK("https://www.cadth.ca/clostridium-botulinum-neurotoxin-type-free-complexing-proteins-1", "Xeomin")</f>
        <v>Xeomin</v>
      </c>
      <c r="B885" t="s">
        <v>2706</v>
      </c>
      <c r="C885" t="s">
        <v>2710</v>
      </c>
      <c r="D885" t="s">
        <v>39</v>
      </c>
      <c r="E885" t="s">
        <v>40</v>
      </c>
      <c r="F885" s="3">
        <v>39976</v>
      </c>
      <c r="G885" s="3">
        <v>40163</v>
      </c>
      <c r="H885" t="s">
        <v>2711</v>
      </c>
      <c r="I885" t="s">
        <v>33</v>
      </c>
      <c r="N885" s="3"/>
      <c r="O885" t="s">
        <v>2709</v>
      </c>
      <c r="Q885" s="3"/>
      <c r="R885" s="3"/>
      <c r="S885" s="3"/>
      <c r="T885" t="s">
        <v>36</v>
      </c>
      <c r="V885" s="3"/>
      <c r="W885" s="3"/>
      <c r="X885" s="3"/>
      <c r="Y885" s="3"/>
      <c r="Z885" s="3"/>
      <c r="AA885" s="3"/>
      <c r="AB885" s="3"/>
    </row>
    <row r="886" spans="1:28" x14ac:dyDescent="0.3">
      <c r="A886" s="2" t="str">
        <f>HYPERLINK("https://www.cadth.ca/clostridium-botulinum-neurotoxin-type-free-complexing-proteins-0", "Xeomin")</f>
        <v>Xeomin</v>
      </c>
      <c r="B886" t="s">
        <v>2706</v>
      </c>
      <c r="C886" t="s">
        <v>2712</v>
      </c>
      <c r="D886" t="s">
        <v>1703</v>
      </c>
      <c r="E886" t="s">
        <v>40</v>
      </c>
      <c r="F886" s="3">
        <v>39976</v>
      </c>
      <c r="G886" s="3">
        <v>40163</v>
      </c>
      <c r="H886" t="s">
        <v>2713</v>
      </c>
      <c r="I886" t="s">
        <v>33</v>
      </c>
      <c r="N886" s="3"/>
      <c r="O886" t="s">
        <v>2709</v>
      </c>
      <c r="Q886" s="3"/>
      <c r="R886" s="3"/>
      <c r="S886" s="3"/>
      <c r="T886" t="s">
        <v>36</v>
      </c>
      <c r="V886" s="3"/>
      <c r="W886" s="3"/>
      <c r="X886" s="3"/>
      <c r="Y886" s="3"/>
      <c r="Z886" s="3"/>
      <c r="AA886" s="3"/>
      <c r="AB886" s="3"/>
    </row>
    <row r="887" spans="1:28" x14ac:dyDescent="0.3">
      <c r="A887" s="2" t="str">
        <f>HYPERLINK("https://www.cadth.ca/incobotulinumtoxina", "Xeomin")</f>
        <v>Xeomin</v>
      </c>
      <c r="B887" t="s">
        <v>2714</v>
      </c>
      <c r="C887" t="s">
        <v>2715</v>
      </c>
      <c r="D887" t="s">
        <v>55</v>
      </c>
      <c r="E887" t="s">
        <v>31</v>
      </c>
      <c r="F887" s="3">
        <v>44253</v>
      </c>
      <c r="G887" s="3"/>
      <c r="H887" t="s">
        <v>2716</v>
      </c>
      <c r="I887" t="s">
        <v>33</v>
      </c>
      <c r="N887" s="3"/>
      <c r="O887" t="s">
        <v>2717</v>
      </c>
      <c r="Q887" s="3"/>
      <c r="R887" s="3"/>
      <c r="S887" s="3"/>
      <c r="T887" t="s">
        <v>36</v>
      </c>
      <c r="V887" s="3"/>
      <c r="W887" s="3"/>
      <c r="X887" s="3"/>
      <c r="Y887" s="3"/>
      <c r="Z887" s="3"/>
      <c r="AA887" s="3"/>
      <c r="AB887" s="3"/>
    </row>
    <row r="888" spans="1:28" x14ac:dyDescent="0.3">
      <c r="A888" s="2" t="str">
        <f>HYPERLINK("https://www.cadth.ca/telotristat", "Xermelo")</f>
        <v>Xermelo</v>
      </c>
      <c r="B888" t="s">
        <v>2718</v>
      </c>
      <c r="C888" t="s">
        <v>2719</v>
      </c>
      <c r="D888" t="s">
        <v>127</v>
      </c>
      <c r="E888" t="s">
        <v>40</v>
      </c>
      <c r="F888" s="3">
        <v>43370</v>
      </c>
      <c r="G888" s="3">
        <v>43642</v>
      </c>
      <c r="H888" t="s">
        <v>2720</v>
      </c>
      <c r="I888" t="s">
        <v>33</v>
      </c>
      <c r="N888" s="3"/>
      <c r="O888" t="s">
        <v>510</v>
      </c>
      <c r="Q888" s="3"/>
      <c r="R888" s="3"/>
      <c r="S888" s="3"/>
      <c r="T888" t="s">
        <v>36</v>
      </c>
      <c r="V888" s="3"/>
      <c r="W888" s="3"/>
      <c r="X888" s="3"/>
      <c r="Y888" s="3"/>
      <c r="Z888" s="3"/>
      <c r="AA888" s="3"/>
      <c r="AB888" s="3"/>
    </row>
    <row r="889" spans="1:28" x14ac:dyDescent="0.3">
      <c r="A889" s="2" t="str">
        <f>HYPERLINK("https://www.cadth.ca/denosumab-drug-plan-submission-0", "Xgeva")</f>
        <v>Xgeva</v>
      </c>
      <c r="B889" t="s">
        <v>2721</v>
      </c>
      <c r="C889" t="s">
        <v>2722</v>
      </c>
      <c r="D889" t="s">
        <v>46</v>
      </c>
      <c r="E889" t="s">
        <v>40</v>
      </c>
      <c r="F889" s="3">
        <v>42216</v>
      </c>
      <c r="G889" s="3">
        <v>42425</v>
      </c>
      <c r="H889" t="s">
        <v>2723</v>
      </c>
      <c r="I889" t="s">
        <v>33</v>
      </c>
      <c r="N889" s="3"/>
      <c r="O889" t="s">
        <v>407</v>
      </c>
      <c r="Q889" s="3"/>
      <c r="R889" s="3"/>
      <c r="S889" s="3"/>
      <c r="T889" t="s">
        <v>726</v>
      </c>
      <c r="V889" s="3"/>
      <c r="W889" s="3"/>
      <c r="X889" s="3"/>
      <c r="Y889" s="3"/>
      <c r="Z889" s="3"/>
      <c r="AA889" s="3"/>
      <c r="AB889" s="3"/>
    </row>
    <row r="890" spans="1:28" x14ac:dyDescent="0.3">
      <c r="A890" s="2" t="str">
        <f>HYPERLINK("https://www.cadth.ca/denosumab-drug-plan-submission-1", "Xgeva")</f>
        <v>Xgeva</v>
      </c>
      <c r="B890" t="s">
        <v>1936</v>
      </c>
      <c r="C890" t="s">
        <v>2724</v>
      </c>
      <c r="D890" t="s">
        <v>46</v>
      </c>
      <c r="E890" t="s">
        <v>40</v>
      </c>
      <c r="F890" s="3">
        <v>42216</v>
      </c>
      <c r="G890" s="3">
        <v>42452</v>
      </c>
      <c r="H890" t="s">
        <v>2725</v>
      </c>
      <c r="I890" t="s">
        <v>33</v>
      </c>
      <c r="N890" s="3"/>
      <c r="O890" t="s">
        <v>407</v>
      </c>
      <c r="Q890" s="3"/>
      <c r="R890" s="3"/>
      <c r="S890" s="3"/>
      <c r="T890" t="s">
        <v>726</v>
      </c>
      <c r="V890" s="3"/>
      <c r="W890" s="3"/>
      <c r="X890" s="3"/>
      <c r="Y890" s="3"/>
      <c r="Z890" s="3"/>
      <c r="AA890" s="3"/>
      <c r="AB890" s="3"/>
    </row>
    <row r="891" spans="1:28" x14ac:dyDescent="0.3">
      <c r="A891" s="2" t="str">
        <f>HYPERLINK("https://www.cadth.ca/denosumab-0", "XGEVA")</f>
        <v>XGEVA</v>
      </c>
      <c r="B891" t="s">
        <v>1933</v>
      </c>
      <c r="C891" t="s">
        <v>2726</v>
      </c>
      <c r="D891" t="s">
        <v>46</v>
      </c>
      <c r="E891" t="s">
        <v>40</v>
      </c>
      <c r="F891" s="3">
        <v>40700</v>
      </c>
      <c r="G891" s="3">
        <v>40863</v>
      </c>
      <c r="H891" t="s">
        <v>2727</v>
      </c>
      <c r="I891" t="s">
        <v>33</v>
      </c>
      <c r="N891" s="3"/>
      <c r="O891" t="s">
        <v>407</v>
      </c>
      <c r="Q891" s="3"/>
      <c r="R891" s="3"/>
      <c r="S891" s="3"/>
      <c r="T891" t="s">
        <v>36</v>
      </c>
      <c r="V891" s="3"/>
      <c r="W891" s="3"/>
      <c r="X891" s="3"/>
      <c r="Y891" s="3"/>
      <c r="Z891" s="3"/>
      <c r="AA891" s="3"/>
      <c r="AB891" s="3"/>
    </row>
    <row r="892" spans="1:28" x14ac:dyDescent="0.3">
      <c r="A892" s="2" t="str">
        <f>HYPERLINK("https://www.cadth.ca/collagenase-clostridium-histolyticum", "Xiaflex")</f>
        <v>Xiaflex</v>
      </c>
      <c r="B892" t="s">
        <v>2728</v>
      </c>
      <c r="C892" t="s">
        <v>2729</v>
      </c>
      <c r="D892" t="s">
        <v>50</v>
      </c>
      <c r="E892" t="s">
        <v>40</v>
      </c>
      <c r="F892" s="3">
        <v>41151</v>
      </c>
      <c r="G892" s="3">
        <v>41360</v>
      </c>
      <c r="H892" t="s">
        <v>2730</v>
      </c>
      <c r="I892" t="s">
        <v>33</v>
      </c>
      <c r="N892" s="3"/>
      <c r="O892" t="s">
        <v>2731</v>
      </c>
      <c r="Q892" s="3"/>
      <c r="R892" s="3"/>
      <c r="S892" s="3"/>
      <c r="T892" t="s">
        <v>36</v>
      </c>
      <c r="V892" s="3"/>
      <c r="W892" s="3"/>
      <c r="X892" s="3"/>
      <c r="Y892" s="3"/>
      <c r="Z892" s="3"/>
      <c r="AA892" s="3"/>
      <c r="AB892" s="3"/>
    </row>
    <row r="893" spans="1:28" x14ac:dyDescent="0.3">
      <c r="A893" s="2" t="str">
        <f>HYPERLINK("https://www.cadth.ca/dapagliflozinmetformin-hydrochloride", "XigDuo")</f>
        <v>XigDuo</v>
      </c>
      <c r="B893" t="s">
        <v>2732</v>
      </c>
      <c r="C893" t="s">
        <v>1192</v>
      </c>
      <c r="D893" t="s">
        <v>55</v>
      </c>
      <c r="E893" t="s">
        <v>40</v>
      </c>
      <c r="F893" s="3">
        <v>42376</v>
      </c>
      <c r="G893" s="3">
        <v>42571</v>
      </c>
      <c r="H893" t="s">
        <v>2733</v>
      </c>
      <c r="I893" t="s">
        <v>33</v>
      </c>
      <c r="N893" s="3"/>
      <c r="O893" t="s">
        <v>465</v>
      </c>
      <c r="Q893" s="3"/>
      <c r="R893" s="3"/>
      <c r="S893" s="3"/>
      <c r="T893" t="s">
        <v>36</v>
      </c>
      <c r="V893" s="3"/>
      <c r="W893" s="3"/>
      <c r="X893" s="3"/>
      <c r="Y893" s="3"/>
      <c r="Z893" s="3"/>
      <c r="AA893" s="3"/>
      <c r="AB893" s="3"/>
    </row>
    <row r="894" spans="1:28" x14ac:dyDescent="0.3">
      <c r="A894" s="2" t="str">
        <f>HYPERLINK("https://www.cadth.ca/baloxavir-marboxil", "Xofluza")</f>
        <v>Xofluza</v>
      </c>
      <c r="B894" t="s">
        <v>2734</v>
      </c>
      <c r="C894" t="s">
        <v>2735</v>
      </c>
      <c r="D894" t="s">
        <v>577</v>
      </c>
      <c r="F894" s="3"/>
      <c r="G894" s="3"/>
      <c r="I894" t="s">
        <v>33</v>
      </c>
      <c r="N894" s="3"/>
      <c r="O894" t="s">
        <v>80</v>
      </c>
      <c r="Q894" s="3"/>
      <c r="R894" s="3"/>
      <c r="S894" s="3"/>
      <c r="T894" t="s">
        <v>579</v>
      </c>
      <c r="V894" s="3"/>
      <c r="W894" s="3"/>
      <c r="X894" s="3"/>
      <c r="Y894" s="3"/>
      <c r="Z894" s="3"/>
      <c r="AA894" s="3"/>
      <c r="AB894" s="3"/>
    </row>
    <row r="895" spans="1:28" x14ac:dyDescent="0.3">
      <c r="A895" s="2" t="str">
        <f>HYPERLINK("https://www.cadth.ca/omalizumab-0", "Xolair")</f>
        <v>Xolair</v>
      </c>
      <c r="B895" t="s">
        <v>2736</v>
      </c>
      <c r="C895" t="s">
        <v>2737</v>
      </c>
      <c r="D895" t="s">
        <v>39</v>
      </c>
      <c r="E895" t="s">
        <v>40</v>
      </c>
      <c r="F895" s="3">
        <v>38638</v>
      </c>
      <c r="G895" s="3">
        <v>38783</v>
      </c>
      <c r="H895" t="s">
        <v>2738</v>
      </c>
      <c r="I895" t="s">
        <v>33</v>
      </c>
      <c r="N895" s="3"/>
      <c r="O895" t="s">
        <v>71</v>
      </c>
      <c r="Q895" s="3"/>
      <c r="R895" s="3"/>
      <c r="S895" s="3"/>
      <c r="T895" t="s">
        <v>142</v>
      </c>
      <c r="V895" s="3"/>
      <c r="W895" s="3"/>
      <c r="X895" s="3"/>
      <c r="Y895" s="3"/>
      <c r="Z895" s="3"/>
      <c r="AA895" s="3"/>
      <c r="AB895" s="3"/>
    </row>
    <row r="896" spans="1:28" x14ac:dyDescent="0.3">
      <c r="A896" s="2" t="str">
        <f>HYPERLINK("https://www.cadth.ca/omalizumab-drug-plan-submission", "Xolair")</f>
        <v>Xolair</v>
      </c>
      <c r="B896" t="s">
        <v>2739</v>
      </c>
      <c r="C896" t="s">
        <v>2737</v>
      </c>
      <c r="D896" t="s">
        <v>55</v>
      </c>
      <c r="E896" t="s">
        <v>40</v>
      </c>
      <c r="F896" s="3">
        <v>42326</v>
      </c>
      <c r="G896" s="3">
        <v>42508</v>
      </c>
      <c r="H896" t="s">
        <v>2740</v>
      </c>
      <c r="I896" t="s">
        <v>33</v>
      </c>
      <c r="N896" s="3"/>
      <c r="O896" t="s">
        <v>71</v>
      </c>
      <c r="Q896" s="3"/>
      <c r="R896" s="3"/>
      <c r="S896" s="3"/>
      <c r="T896" t="s">
        <v>726</v>
      </c>
      <c r="V896" s="3"/>
      <c r="W896" s="3"/>
      <c r="X896" s="3"/>
      <c r="Y896" s="3"/>
      <c r="Z896" s="3"/>
      <c r="AA896" s="3"/>
      <c r="AB896" s="3"/>
    </row>
    <row r="897" spans="1:29" x14ac:dyDescent="0.3">
      <c r="A897" s="2" t="str">
        <f>HYPERLINK("https://www.cadth.ca/omalizumab", "Xolair")</f>
        <v>Xolair</v>
      </c>
      <c r="B897" t="s">
        <v>2736</v>
      </c>
      <c r="C897" t="s">
        <v>2737</v>
      </c>
      <c r="E897" t="s">
        <v>154</v>
      </c>
      <c r="F897" s="3">
        <v>38460</v>
      </c>
      <c r="G897" s="3"/>
      <c r="H897" t="s">
        <v>2741</v>
      </c>
      <c r="I897" t="s">
        <v>33</v>
      </c>
      <c r="N897" s="3"/>
      <c r="O897" t="s">
        <v>71</v>
      </c>
      <c r="Q897" s="3"/>
      <c r="R897" s="3"/>
      <c r="S897" s="3"/>
      <c r="T897" t="s">
        <v>36</v>
      </c>
      <c r="V897" s="3"/>
      <c r="W897" s="3"/>
      <c r="X897" s="3"/>
      <c r="Y897" s="3"/>
      <c r="Z897" s="3"/>
      <c r="AA897" s="3"/>
      <c r="AB897" s="3"/>
    </row>
    <row r="898" spans="1:29" x14ac:dyDescent="0.3">
      <c r="A898" s="2" t="str">
        <f>HYPERLINK("https://www.cadth.ca/omalizumab-1", "Xolair")</f>
        <v>Xolair</v>
      </c>
      <c r="B898" t="s">
        <v>2736</v>
      </c>
      <c r="C898" t="s">
        <v>2742</v>
      </c>
      <c r="D898" t="s">
        <v>46</v>
      </c>
      <c r="E898" t="s">
        <v>40</v>
      </c>
      <c r="F898" s="3">
        <v>41904</v>
      </c>
      <c r="G898" s="3">
        <v>42131</v>
      </c>
      <c r="H898" t="s">
        <v>2743</v>
      </c>
      <c r="I898" t="s">
        <v>33</v>
      </c>
      <c r="N898" s="3"/>
      <c r="O898" t="s">
        <v>71</v>
      </c>
      <c r="Q898" s="3"/>
      <c r="R898" s="3"/>
      <c r="S898" s="3"/>
      <c r="T898" t="s">
        <v>36</v>
      </c>
      <c r="V898" s="3"/>
      <c r="W898" s="3"/>
      <c r="X898" s="3"/>
      <c r="Y898" s="3"/>
      <c r="Z898" s="3"/>
      <c r="AA898" s="3"/>
      <c r="AB898" s="3"/>
    </row>
    <row r="899" spans="1:29" x14ac:dyDescent="0.3">
      <c r="A899" s="2" t="str">
        <f>HYPERLINK("https://www.cadth.ca/node/117911", "Xospata")</f>
        <v>Xospata</v>
      </c>
      <c r="B899" t="s">
        <v>2744</v>
      </c>
      <c r="D899" t="s">
        <v>55</v>
      </c>
      <c r="E899" t="s">
        <v>40</v>
      </c>
      <c r="F899" s="3">
        <v>43766</v>
      </c>
      <c r="G899" s="3">
        <v>43971</v>
      </c>
      <c r="H899" t="s">
        <v>2745</v>
      </c>
      <c r="I899" t="s">
        <v>33</v>
      </c>
      <c r="J899" t="s">
        <v>2746</v>
      </c>
      <c r="K899" t="s">
        <v>284</v>
      </c>
      <c r="L899" t="s">
        <v>2747</v>
      </c>
      <c r="M899" t="s">
        <v>60</v>
      </c>
      <c r="N899" s="3">
        <v>43822</v>
      </c>
      <c r="O899" t="s">
        <v>1594</v>
      </c>
      <c r="P899" t="s">
        <v>1594</v>
      </c>
      <c r="Q899" s="3"/>
      <c r="R899" s="3"/>
      <c r="S899" s="3">
        <v>43780</v>
      </c>
      <c r="V899" s="3">
        <v>43780</v>
      </c>
      <c r="W899" s="3">
        <v>43859</v>
      </c>
      <c r="X899" s="3">
        <v>43937</v>
      </c>
      <c r="Y899" s="3">
        <v>43951</v>
      </c>
      <c r="Z899" s="3">
        <v>43965</v>
      </c>
      <c r="AA899" s="3"/>
      <c r="AB899" s="3">
        <v>43986</v>
      </c>
    </row>
    <row r="900" spans="1:29" x14ac:dyDescent="0.3">
      <c r="A900" s="2" t="str">
        <f>HYPERLINK("https://www.cadth.ca/node/110538", "Xtandi")</f>
        <v>Xtandi</v>
      </c>
      <c r="B900" t="s">
        <v>2748</v>
      </c>
      <c r="C900" t="s">
        <v>2749</v>
      </c>
      <c r="D900" t="s">
        <v>55</v>
      </c>
      <c r="E900" t="s">
        <v>40</v>
      </c>
      <c r="F900" s="3">
        <v>43367</v>
      </c>
      <c r="G900" s="3">
        <v>43550</v>
      </c>
      <c r="H900" t="s">
        <v>2750</v>
      </c>
      <c r="I900" t="s">
        <v>33</v>
      </c>
      <c r="J900" t="s">
        <v>1601</v>
      </c>
      <c r="K900" t="s">
        <v>367</v>
      </c>
      <c r="L900" t="s">
        <v>2751</v>
      </c>
      <c r="M900" t="s">
        <v>60</v>
      </c>
      <c r="N900" s="3">
        <v>43454</v>
      </c>
      <c r="O900" t="s">
        <v>1592</v>
      </c>
      <c r="P900" t="s">
        <v>1592</v>
      </c>
      <c r="Q900" s="3"/>
      <c r="R900" s="3"/>
      <c r="S900" s="3">
        <v>43382</v>
      </c>
      <c r="V900" s="3">
        <v>43382</v>
      </c>
      <c r="W900" s="3">
        <v>43424</v>
      </c>
      <c r="X900" s="3">
        <v>43517</v>
      </c>
      <c r="Y900" s="3">
        <v>43531</v>
      </c>
      <c r="Z900" s="3">
        <v>43545</v>
      </c>
      <c r="AA900" s="3"/>
      <c r="AB900" s="3">
        <v>43565</v>
      </c>
    </row>
    <row r="901" spans="1:29" x14ac:dyDescent="0.3">
      <c r="A901" s="2" t="str">
        <f>HYPERLINK("https://www.cadth.ca/node/119307", "Xtandi")</f>
        <v>Xtandi</v>
      </c>
      <c r="B901" t="s">
        <v>2748</v>
      </c>
      <c r="C901" t="s">
        <v>2752</v>
      </c>
      <c r="D901" t="s">
        <v>55</v>
      </c>
      <c r="E901" t="s">
        <v>40</v>
      </c>
      <c r="F901" s="3">
        <v>43885</v>
      </c>
      <c r="G901" s="3">
        <v>44097</v>
      </c>
      <c r="H901" t="s">
        <v>2753</v>
      </c>
      <c r="I901" t="s">
        <v>33</v>
      </c>
      <c r="J901" t="s">
        <v>2746</v>
      </c>
      <c r="K901" t="s">
        <v>367</v>
      </c>
      <c r="L901" t="s">
        <v>2754</v>
      </c>
      <c r="M901" t="s">
        <v>60</v>
      </c>
      <c r="N901" s="3">
        <v>43984</v>
      </c>
      <c r="O901" t="s">
        <v>1592</v>
      </c>
      <c r="P901" t="s">
        <v>1592</v>
      </c>
      <c r="Q901" s="3"/>
      <c r="R901" s="3"/>
      <c r="S901" s="3">
        <v>43902</v>
      </c>
      <c r="V901" s="3">
        <v>43899</v>
      </c>
      <c r="W901" s="3">
        <v>43944</v>
      </c>
      <c r="X901" s="3">
        <v>44063</v>
      </c>
      <c r="Y901" s="3">
        <v>44077</v>
      </c>
      <c r="Z901" s="3">
        <v>44092</v>
      </c>
      <c r="AA901" s="3"/>
      <c r="AB901" s="3">
        <v>44112</v>
      </c>
    </row>
    <row r="902" spans="1:29" x14ac:dyDescent="0.3">
      <c r="A902" s="2" t="str">
        <f>HYPERLINK("https://www.cadth.ca/node/79687", "Xtandi")</f>
        <v>Xtandi</v>
      </c>
      <c r="B902" t="s">
        <v>2748</v>
      </c>
      <c r="C902" t="s">
        <v>2755</v>
      </c>
      <c r="D902" t="s">
        <v>55</v>
      </c>
      <c r="E902" t="s">
        <v>40</v>
      </c>
      <c r="F902" s="3">
        <v>41337</v>
      </c>
      <c r="G902" s="3">
        <v>41478</v>
      </c>
      <c r="H902" t="s">
        <v>2756</v>
      </c>
      <c r="I902" t="s">
        <v>33</v>
      </c>
      <c r="J902" t="s">
        <v>2757</v>
      </c>
      <c r="K902" t="s">
        <v>367</v>
      </c>
      <c r="L902" t="s">
        <v>2758</v>
      </c>
      <c r="M902" t="s">
        <v>60</v>
      </c>
      <c r="N902" s="3">
        <v>41423</v>
      </c>
      <c r="O902" t="s">
        <v>1594</v>
      </c>
      <c r="P902" t="s">
        <v>1594</v>
      </c>
      <c r="Q902" s="3"/>
      <c r="R902" s="3"/>
      <c r="S902" s="3">
        <v>41352</v>
      </c>
      <c r="U902" t="s">
        <v>62</v>
      </c>
      <c r="V902" s="3">
        <v>41351</v>
      </c>
      <c r="W902" s="3">
        <v>41394</v>
      </c>
      <c r="X902" s="3">
        <v>41445</v>
      </c>
      <c r="Y902" s="3">
        <v>41460</v>
      </c>
      <c r="Z902" s="3">
        <v>41474</v>
      </c>
      <c r="AA902" s="3"/>
      <c r="AB902" s="3">
        <v>41494</v>
      </c>
    </row>
    <row r="903" spans="1:29" x14ac:dyDescent="0.3">
      <c r="A903" s="2" t="str">
        <f>HYPERLINK("https://www.cadth.ca/node/79686", "Xtandi")</f>
        <v>Xtandi</v>
      </c>
      <c r="B903" t="s">
        <v>2748</v>
      </c>
      <c r="C903" t="s">
        <v>2759</v>
      </c>
      <c r="D903" t="s">
        <v>55</v>
      </c>
      <c r="E903" t="s">
        <v>40</v>
      </c>
      <c r="F903" s="3">
        <v>41914</v>
      </c>
      <c r="G903" s="3">
        <v>42177</v>
      </c>
      <c r="H903" t="s">
        <v>2760</v>
      </c>
      <c r="I903" t="s">
        <v>33</v>
      </c>
      <c r="J903" t="s">
        <v>2761</v>
      </c>
      <c r="K903" t="s">
        <v>367</v>
      </c>
      <c r="L903" t="s">
        <v>2762</v>
      </c>
      <c r="M903" t="s">
        <v>60</v>
      </c>
      <c r="N903" s="3">
        <v>42109</v>
      </c>
      <c r="O903" t="s">
        <v>1592</v>
      </c>
      <c r="P903" t="s">
        <v>1592</v>
      </c>
      <c r="Q903" s="3"/>
      <c r="R903" s="3"/>
      <c r="S903" s="3">
        <v>41921</v>
      </c>
      <c r="U903" t="s">
        <v>214</v>
      </c>
      <c r="V903" s="3">
        <v>41929</v>
      </c>
      <c r="W903" s="3">
        <v>42037</v>
      </c>
      <c r="X903" s="3">
        <v>42145</v>
      </c>
      <c r="Y903" s="3">
        <v>42159</v>
      </c>
      <c r="Z903" s="3">
        <v>42173</v>
      </c>
      <c r="AA903" s="3"/>
      <c r="AB903" s="3">
        <v>42193</v>
      </c>
      <c r="AC903" t="s">
        <v>2763</v>
      </c>
    </row>
    <row r="904" spans="1:29" x14ac:dyDescent="0.3">
      <c r="A904" s="2" t="str">
        <f>HYPERLINK("https://www.cadth.ca/insulin-degludec-liraglutide", "Xultophy")</f>
        <v>Xultophy</v>
      </c>
      <c r="B904" t="s">
        <v>2764</v>
      </c>
      <c r="C904" t="s">
        <v>150</v>
      </c>
      <c r="D904" t="s">
        <v>55</v>
      </c>
      <c r="E904" t="s">
        <v>40</v>
      </c>
      <c r="F904" s="3">
        <v>43495</v>
      </c>
      <c r="G904" s="3">
        <v>43762</v>
      </c>
      <c r="H904" t="s">
        <v>2765</v>
      </c>
      <c r="I904" t="s">
        <v>33</v>
      </c>
      <c r="N904" s="3"/>
      <c r="O904" t="s">
        <v>1433</v>
      </c>
      <c r="Q904" s="3"/>
      <c r="R904" s="3"/>
      <c r="S904" s="3"/>
      <c r="T904" t="s">
        <v>36</v>
      </c>
      <c r="V904" s="3"/>
      <c r="W904" s="3"/>
      <c r="X904" s="3"/>
      <c r="Y904" s="3"/>
      <c r="Z904" s="3"/>
      <c r="AA904" s="3"/>
      <c r="AB904" s="3"/>
    </row>
    <row r="905" spans="1:29" x14ac:dyDescent="0.3">
      <c r="A905" s="2" t="str">
        <f>HYPERLINK("https://www.cadth.ca/sodium-oxybate", "Xyrem")</f>
        <v>Xyrem</v>
      </c>
      <c r="B905" t="s">
        <v>2766</v>
      </c>
      <c r="C905" t="s">
        <v>2767</v>
      </c>
      <c r="E905" t="s">
        <v>113</v>
      </c>
      <c r="F905" s="3">
        <v>39323</v>
      </c>
      <c r="G905" s="3"/>
      <c r="H905" t="s">
        <v>2768</v>
      </c>
      <c r="I905" t="s">
        <v>33</v>
      </c>
      <c r="N905" s="3"/>
      <c r="O905" t="s">
        <v>2769</v>
      </c>
      <c r="Q905" s="3"/>
      <c r="R905" s="3"/>
      <c r="S905" s="3"/>
      <c r="T905" t="s">
        <v>36</v>
      </c>
      <c r="V905" s="3"/>
      <c r="W905" s="3"/>
      <c r="X905" s="3"/>
      <c r="Y905" s="3"/>
      <c r="Z905" s="3"/>
      <c r="AA905" s="3"/>
      <c r="AB905" s="3"/>
    </row>
    <row r="906" spans="1:29" x14ac:dyDescent="0.3">
      <c r="A906" s="2" t="str">
        <f>HYPERLINK("https://www.cadth.ca/sodium-oxybate-0", "Xyrem")</f>
        <v>Xyrem</v>
      </c>
      <c r="B906" t="s">
        <v>2766</v>
      </c>
      <c r="C906" t="s">
        <v>2767</v>
      </c>
      <c r="D906" t="s">
        <v>39</v>
      </c>
      <c r="E906" t="s">
        <v>40</v>
      </c>
      <c r="F906" s="3">
        <v>39638</v>
      </c>
      <c r="G906" s="3">
        <v>39841</v>
      </c>
      <c r="H906" t="s">
        <v>2770</v>
      </c>
      <c r="I906" t="s">
        <v>33</v>
      </c>
      <c r="N906" s="3"/>
      <c r="O906" t="s">
        <v>2769</v>
      </c>
      <c r="Q906" s="3"/>
      <c r="R906" s="3"/>
      <c r="S906" s="3"/>
      <c r="T906" t="s">
        <v>142</v>
      </c>
      <c r="V906" s="3"/>
      <c r="W906" s="3"/>
      <c r="X906" s="3"/>
      <c r="Y906" s="3"/>
      <c r="Z906" s="3"/>
      <c r="AA906" s="3"/>
      <c r="AB906" s="3"/>
    </row>
    <row r="907" spans="1:29" x14ac:dyDescent="0.3">
      <c r="A907" s="2" t="str">
        <f>HYPERLINK("https://www.cadth.ca/drospirenone-ethinyl-estradiol", "Yasmin")</f>
        <v>Yasmin</v>
      </c>
      <c r="B907" t="s">
        <v>2771</v>
      </c>
      <c r="C907" t="s">
        <v>2772</v>
      </c>
      <c r="D907" t="s">
        <v>160</v>
      </c>
      <c r="E907" t="s">
        <v>40</v>
      </c>
      <c r="F907" s="3">
        <v>38372</v>
      </c>
      <c r="G907" s="3">
        <v>38519</v>
      </c>
      <c r="H907" t="s">
        <v>2773</v>
      </c>
      <c r="I907" t="s">
        <v>33</v>
      </c>
      <c r="N907" s="3"/>
      <c r="O907" t="s">
        <v>2774</v>
      </c>
      <c r="Q907" s="3"/>
      <c r="R907" s="3"/>
      <c r="S907" s="3"/>
      <c r="T907" t="s">
        <v>36</v>
      </c>
      <c r="V907" s="3"/>
      <c r="W907" s="3"/>
      <c r="X907" s="3"/>
      <c r="Y907" s="3"/>
      <c r="Z907" s="3"/>
      <c r="AA907" s="3"/>
      <c r="AB907" s="3"/>
    </row>
    <row r="908" spans="1:29" x14ac:dyDescent="0.3">
      <c r="A908" s="2" t="str">
        <f>HYPERLINK("https://www.cadth.ca/node/79689", "Yervoy")</f>
        <v>Yervoy</v>
      </c>
      <c r="B908" t="s">
        <v>2775</v>
      </c>
      <c r="C908" t="s">
        <v>2776</v>
      </c>
      <c r="D908" t="s">
        <v>55</v>
      </c>
      <c r="E908" t="s">
        <v>40</v>
      </c>
      <c r="F908" s="3">
        <v>41866</v>
      </c>
      <c r="G908" s="3">
        <v>41995</v>
      </c>
      <c r="H908" t="s">
        <v>2777</v>
      </c>
      <c r="I908" t="s">
        <v>33</v>
      </c>
      <c r="J908" t="s">
        <v>2778</v>
      </c>
      <c r="K908" t="s">
        <v>616</v>
      </c>
      <c r="L908" t="s">
        <v>2779</v>
      </c>
      <c r="M908" t="s">
        <v>60</v>
      </c>
      <c r="N908" s="3">
        <v>41892</v>
      </c>
      <c r="O908" t="s">
        <v>42</v>
      </c>
      <c r="P908" t="s">
        <v>42</v>
      </c>
      <c r="Q908" s="3"/>
      <c r="R908" s="3"/>
      <c r="S908" s="3">
        <v>41873</v>
      </c>
      <c r="U908" t="s">
        <v>62</v>
      </c>
      <c r="V908" s="3">
        <v>41880</v>
      </c>
      <c r="W908" s="3">
        <v>41918</v>
      </c>
      <c r="X908" s="3">
        <v>41963</v>
      </c>
      <c r="Y908" s="3">
        <v>41977</v>
      </c>
      <c r="Z908" s="3">
        <v>41991</v>
      </c>
      <c r="AA908" s="3"/>
      <c r="AB908" s="3">
        <v>42018</v>
      </c>
    </row>
    <row r="909" spans="1:29" x14ac:dyDescent="0.3">
      <c r="A909" s="2" t="str">
        <f>HYPERLINK("https://www.cadth.ca/node/79688", "Yervoy")</f>
        <v>Yervoy</v>
      </c>
      <c r="B909" t="s">
        <v>2775</v>
      </c>
      <c r="C909" t="s">
        <v>447</v>
      </c>
      <c r="D909" t="s">
        <v>55</v>
      </c>
      <c r="E909" t="s">
        <v>40</v>
      </c>
      <c r="F909" s="3">
        <v>40878</v>
      </c>
      <c r="G909" s="3">
        <v>41017</v>
      </c>
      <c r="H909" t="s">
        <v>2780</v>
      </c>
      <c r="I909" t="s">
        <v>33</v>
      </c>
      <c r="J909" t="s">
        <v>2781</v>
      </c>
      <c r="K909" t="s">
        <v>616</v>
      </c>
      <c r="L909" t="s">
        <v>2782</v>
      </c>
      <c r="M909" t="s">
        <v>60</v>
      </c>
      <c r="N909" s="3">
        <v>40940</v>
      </c>
      <c r="O909" t="s">
        <v>42</v>
      </c>
      <c r="P909" t="s">
        <v>42</v>
      </c>
      <c r="Q909" s="3"/>
      <c r="R909" s="3"/>
      <c r="S909" s="3">
        <v>40884</v>
      </c>
      <c r="U909" t="s">
        <v>62</v>
      </c>
      <c r="V909" s="3">
        <v>40892</v>
      </c>
      <c r="W909" s="3">
        <v>40932</v>
      </c>
      <c r="X909" s="3">
        <v>40983</v>
      </c>
      <c r="Y909" s="3">
        <v>40997</v>
      </c>
      <c r="Z909" s="3">
        <v>41015</v>
      </c>
      <c r="AA909" s="3"/>
      <c r="AB909" s="3">
        <v>41031</v>
      </c>
    </row>
    <row r="910" spans="1:29" x14ac:dyDescent="0.3">
      <c r="A910" s="2" t="str">
        <f>HYPERLINK("https://www.cadth.ca/node/91531", "Yondelis")</f>
        <v>Yondelis</v>
      </c>
      <c r="B910" t="s">
        <v>2783</v>
      </c>
      <c r="C910" t="s">
        <v>2784</v>
      </c>
      <c r="D910" t="s">
        <v>127</v>
      </c>
      <c r="E910" t="s">
        <v>40</v>
      </c>
      <c r="F910" s="3">
        <v>42360</v>
      </c>
      <c r="G910" s="3">
        <v>42587</v>
      </c>
      <c r="H910" t="s">
        <v>2785</v>
      </c>
      <c r="I910" t="s">
        <v>33</v>
      </c>
      <c r="J910" t="s">
        <v>2786</v>
      </c>
      <c r="K910" t="s">
        <v>1400</v>
      </c>
      <c r="L910" t="s">
        <v>2787</v>
      </c>
      <c r="N910" s="3">
        <v>40738</v>
      </c>
      <c r="O910" t="s">
        <v>665</v>
      </c>
      <c r="P910" t="s">
        <v>665</v>
      </c>
      <c r="Q910" s="3"/>
      <c r="R910" s="3"/>
      <c r="S910" s="3">
        <v>42375</v>
      </c>
      <c r="U910" t="s">
        <v>62</v>
      </c>
      <c r="V910" s="3">
        <v>42382</v>
      </c>
      <c r="W910" s="3">
        <v>42431</v>
      </c>
      <c r="X910" s="3">
        <v>42509</v>
      </c>
      <c r="Y910" s="3">
        <v>42524</v>
      </c>
      <c r="Z910" s="3">
        <v>42538</v>
      </c>
      <c r="AA910" s="3"/>
      <c r="AB910" s="3">
        <v>42604</v>
      </c>
    </row>
    <row r="911" spans="1:29" x14ac:dyDescent="0.3">
      <c r="A911" s="2" t="str">
        <f>HYPERLINK("https://www.cadth.ca/node/79690", "Zaltrap")</f>
        <v>Zaltrap</v>
      </c>
      <c r="B911" t="s">
        <v>872</v>
      </c>
      <c r="C911" t="s">
        <v>324</v>
      </c>
      <c r="D911" t="s">
        <v>127</v>
      </c>
      <c r="E911" t="s">
        <v>40</v>
      </c>
      <c r="F911" s="3">
        <v>41604</v>
      </c>
      <c r="G911" s="3">
        <v>41887</v>
      </c>
      <c r="H911" t="s">
        <v>2788</v>
      </c>
      <c r="I911" t="s">
        <v>33</v>
      </c>
      <c r="J911" t="s">
        <v>310</v>
      </c>
      <c r="K911" t="s">
        <v>58</v>
      </c>
      <c r="L911" t="s">
        <v>2789</v>
      </c>
      <c r="M911" t="s">
        <v>60</v>
      </c>
      <c r="N911" s="3">
        <v>41682</v>
      </c>
      <c r="O911" t="s">
        <v>152</v>
      </c>
      <c r="P911" t="s">
        <v>152</v>
      </c>
      <c r="Q911" s="3"/>
      <c r="R911" s="3"/>
      <c r="S911" s="3">
        <v>41618</v>
      </c>
      <c r="U911" t="s">
        <v>62</v>
      </c>
      <c r="V911" s="3">
        <v>41618</v>
      </c>
      <c r="W911" s="3">
        <v>41663</v>
      </c>
      <c r="X911" s="3">
        <v>41809</v>
      </c>
      <c r="Y911" s="3">
        <v>41824</v>
      </c>
      <c r="Z911" s="3">
        <v>41838</v>
      </c>
      <c r="AA911" s="3"/>
      <c r="AB911" s="3">
        <v>41904</v>
      </c>
      <c r="AC911" t="s">
        <v>996</v>
      </c>
    </row>
    <row r="912" spans="1:29" x14ac:dyDescent="0.3">
      <c r="A912" s="2" t="str">
        <f>HYPERLINK("https://www.cadth.ca/miglustat", "Zavesca")</f>
        <v>Zavesca</v>
      </c>
      <c r="B912" t="s">
        <v>2790</v>
      </c>
      <c r="C912" t="s">
        <v>545</v>
      </c>
      <c r="D912" t="s">
        <v>39</v>
      </c>
      <c r="E912" t="s">
        <v>40</v>
      </c>
      <c r="F912" s="3">
        <v>38120</v>
      </c>
      <c r="G912" s="3">
        <v>38315</v>
      </c>
      <c r="H912" t="s">
        <v>2791</v>
      </c>
      <c r="I912" t="s">
        <v>33</v>
      </c>
      <c r="N912" s="3"/>
      <c r="O912" t="s">
        <v>1783</v>
      </c>
      <c r="Q912" s="3"/>
      <c r="R912" s="3"/>
      <c r="S912" s="3"/>
      <c r="T912" t="s">
        <v>36</v>
      </c>
      <c r="V912" s="3"/>
      <c r="W912" s="3"/>
      <c r="X912" s="3"/>
      <c r="Y912" s="3"/>
      <c r="Z912" s="3"/>
      <c r="AA912" s="3"/>
      <c r="AB912" s="3"/>
    </row>
    <row r="913" spans="1:29" x14ac:dyDescent="0.3">
      <c r="A913" s="2" t="str">
        <f>HYPERLINK("https://www.cadth.ca/rifaximin", "Zaxine")</f>
        <v>Zaxine</v>
      </c>
      <c r="B913" t="s">
        <v>2792</v>
      </c>
      <c r="C913" t="s">
        <v>2793</v>
      </c>
      <c r="D913" t="s">
        <v>50</v>
      </c>
      <c r="E913" t="s">
        <v>40</v>
      </c>
      <c r="F913" s="3">
        <v>41856</v>
      </c>
      <c r="G913" s="3">
        <v>42110</v>
      </c>
      <c r="H913" t="s">
        <v>2794</v>
      </c>
      <c r="I913" t="s">
        <v>33</v>
      </c>
      <c r="N913" s="3"/>
      <c r="O913" t="s">
        <v>2795</v>
      </c>
      <c r="Q913" s="3"/>
      <c r="R913" s="3"/>
      <c r="S913" s="3"/>
      <c r="T913" t="s">
        <v>36</v>
      </c>
      <c r="V913" s="3"/>
      <c r="W913" s="3"/>
      <c r="X913" s="3"/>
      <c r="Y913" s="3"/>
      <c r="Z913" s="3"/>
      <c r="AA913" s="3"/>
      <c r="AB913" s="3"/>
    </row>
    <row r="914" spans="1:29" x14ac:dyDescent="0.3">
      <c r="A914" s="2" t="str">
        <f>HYPERLINK("https://www.cadth.ca/node/119246", "Zejula")</f>
        <v>Zejula</v>
      </c>
      <c r="B914" t="s">
        <v>2796</v>
      </c>
      <c r="C914" t="s">
        <v>317</v>
      </c>
      <c r="D914" t="s">
        <v>55</v>
      </c>
      <c r="E914" t="s">
        <v>40</v>
      </c>
      <c r="F914" s="3">
        <v>43868</v>
      </c>
      <c r="G914" s="3">
        <v>44077</v>
      </c>
      <c r="H914" t="s">
        <v>2797</v>
      </c>
      <c r="I914" t="s">
        <v>33</v>
      </c>
      <c r="J914" t="s">
        <v>520</v>
      </c>
      <c r="K914" t="s">
        <v>311</v>
      </c>
      <c r="L914" t="s">
        <v>2798</v>
      </c>
      <c r="N914" s="3">
        <v>43643</v>
      </c>
      <c r="O914" t="s">
        <v>259</v>
      </c>
      <c r="P914" t="s">
        <v>259</v>
      </c>
      <c r="Q914" s="3"/>
      <c r="R914" s="3"/>
      <c r="S914" s="3">
        <v>43885</v>
      </c>
      <c r="V914" s="3">
        <v>43885</v>
      </c>
      <c r="W914" s="3">
        <v>43929</v>
      </c>
      <c r="X914" s="3">
        <v>44000</v>
      </c>
      <c r="Y914" s="3">
        <v>44015</v>
      </c>
      <c r="Z914" s="3">
        <v>44029</v>
      </c>
      <c r="AA914" s="3"/>
      <c r="AB914" s="3">
        <v>44095</v>
      </c>
    </row>
    <row r="915" spans="1:29" x14ac:dyDescent="0.3">
      <c r="A915" s="2" t="str">
        <f>HYPERLINK("https://www.cadth.ca/node/122261", "Zejula")</f>
        <v>Zejula</v>
      </c>
      <c r="B915" t="s">
        <v>2796</v>
      </c>
      <c r="C915" t="s">
        <v>2799</v>
      </c>
      <c r="E915" t="s">
        <v>40</v>
      </c>
      <c r="F915" s="3">
        <v>44095</v>
      </c>
      <c r="G915" s="3">
        <v>44315</v>
      </c>
      <c r="H915" t="s">
        <v>2800</v>
      </c>
      <c r="I915" t="s">
        <v>33</v>
      </c>
      <c r="J915" t="s">
        <v>520</v>
      </c>
      <c r="K915" t="s">
        <v>311</v>
      </c>
      <c r="L915" t="s">
        <v>2801</v>
      </c>
      <c r="M915" t="s">
        <v>60</v>
      </c>
      <c r="N915" s="3">
        <v>44106</v>
      </c>
      <c r="O915" t="s">
        <v>259</v>
      </c>
      <c r="P915" t="s">
        <v>259</v>
      </c>
      <c r="Q915" s="3"/>
      <c r="R915" s="3"/>
      <c r="S915" s="3">
        <v>44109</v>
      </c>
      <c r="V915" s="3">
        <v>44109</v>
      </c>
      <c r="W915" s="3">
        <v>44161</v>
      </c>
      <c r="X915" s="3">
        <v>44245</v>
      </c>
      <c r="Y915" s="3">
        <v>44259</v>
      </c>
      <c r="Z915" s="3">
        <v>44273</v>
      </c>
      <c r="AA915" s="3"/>
      <c r="AB915" s="3"/>
    </row>
    <row r="916" spans="1:29" x14ac:dyDescent="0.3">
      <c r="A916" s="2" t="str">
        <f>HYPERLINK("https://www.cadth.ca/node/79691", "Zelboraf")</f>
        <v>Zelboraf</v>
      </c>
      <c r="B916" t="s">
        <v>2802</v>
      </c>
      <c r="C916" t="s">
        <v>1313</v>
      </c>
      <c r="D916" t="s">
        <v>55</v>
      </c>
      <c r="E916" t="s">
        <v>40</v>
      </c>
      <c r="F916" s="3">
        <v>40883</v>
      </c>
      <c r="G916" s="3">
        <v>41061</v>
      </c>
      <c r="H916" t="s">
        <v>2803</v>
      </c>
      <c r="I916" t="s">
        <v>33</v>
      </c>
      <c r="J916" t="s">
        <v>2804</v>
      </c>
      <c r="K916" t="s">
        <v>616</v>
      </c>
      <c r="L916" t="s">
        <v>2805</v>
      </c>
      <c r="M916" t="s">
        <v>60</v>
      </c>
      <c r="N916" s="3">
        <v>40954</v>
      </c>
      <c r="O916" t="s">
        <v>80</v>
      </c>
      <c r="P916" t="s">
        <v>80</v>
      </c>
      <c r="Q916" s="3"/>
      <c r="R916" s="3"/>
      <c r="S916" s="3">
        <v>40886</v>
      </c>
      <c r="U916" t="s">
        <v>62</v>
      </c>
      <c r="V916" s="3">
        <v>40897</v>
      </c>
      <c r="W916" s="3">
        <v>40938</v>
      </c>
      <c r="X916" s="3">
        <v>40983</v>
      </c>
      <c r="Y916" s="3">
        <v>40997</v>
      </c>
      <c r="Z916" s="3">
        <v>41015</v>
      </c>
      <c r="AA916" s="3"/>
      <c r="AB916" s="3">
        <v>41078</v>
      </c>
    </row>
    <row r="917" spans="1:29" x14ac:dyDescent="0.3">
      <c r="A917" s="2" t="str">
        <f>HYPERLINK("https://www.cadth.ca/ziprasidone-hydrochloride", "Zeldox")</f>
        <v>Zeldox</v>
      </c>
      <c r="B917" t="s">
        <v>2806</v>
      </c>
      <c r="C917" t="s">
        <v>45</v>
      </c>
      <c r="D917" t="s">
        <v>46</v>
      </c>
      <c r="E917" t="s">
        <v>40</v>
      </c>
      <c r="F917" s="3">
        <v>39457</v>
      </c>
      <c r="G917" s="3">
        <v>39674</v>
      </c>
      <c r="H917" t="s">
        <v>2807</v>
      </c>
      <c r="I917" t="s">
        <v>33</v>
      </c>
      <c r="N917" s="3"/>
      <c r="O917" t="s">
        <v>387</v>
      </c>
      <c r="Q917" s="3"/>
      <c r="R917" s="3"/>
      <c r="S917" s="3"/>
      <c r="T917" t="s">
        <v>36</v>
      </c>
      <c r="V917" s="3"/>
      <c r="W917" s="3"/>
      <c r="X917" s="3"/>
      <c r="Y917" s="3"/>
      <c r="Z917" s="3"/>
      <c r="AA917" s="3"/>
      <c r="AB917" s="3"/>
    </row>
    <row r="918" spans="1:29" x14ac:dyDescent="0.3">
      <c r="A918" s="2" t="str">
        <f>HYPERLINK("https://www.cadth.ca/alpha1-proteinase-inhibitor-human", "Zemaira")</f>
        <v>Zemaira</v>
      </c>
      <c r="B918" t="s">
        <v>2808</v>
      </c>
      <c r="C918" t="s">
        <v>2809</v>
      </c>
      <c r="E918" t="s">
        <v>484</v>
      </c>
      <c r="F918" s="3"/>
      <c r="G918" s="3"/>
      <c r="H918" t="s">
        <v>2810</v>
      </c>
      <c r="I918" t="s">
        <v>33</v>
      </c>
      <c r="N918" s="3"/>
      <c r="Q918" s="3"/>
      <c r="R918" s="3"/>
      <c r="S918" s="3"/>
      <c r="T918" t="s">
        <v>36</v>
      </c>
      <c r="V918" s="3"/>
      <c r="W918" s="3"/>
      <c r="X918" s="3"/>
      <c r="Y918" s="3"/>
      <c r="Z918" s="3"/>
      <c r="AA918" s="3"/>
      <c r="AB918" s="3"/>
    </row>
    <row r="919" spans="1:29" x14ac:dyDescent="0.3">
      <c r="A919" s="2" t="str">
        <f>HYPERLINK("https://www.cadth.ca/mometasoneformoterol", "Zenhale")</f>
        <v>Zenhale</v>
      </c>
      <c r="B919" t="s">
        <v>2811</v>
      </c>
      <c r="C919" t="s">
        <v>164</v>
      </c>
      <c r="D919" t="s">
        <v>46</v>
      </c>
      <c r="E919" t="s">
        <v>40</v>
      </c>
      <c r="F919" s="3">
        <v>41066</v>
      </c>
      <c r="G919" s="3">
        <v>41262</v>
      </c>
      <c r="H919" t="s">
        <v>2812</v>
      </c>
      <c r="I919" t="s">
        <v>33</v>
      </c>
      <c r="N919" s="3"/>
      <c r="O919" t="s">
        <v>289</v>
      </c>
      <c r="Q919" s="3"/>
      <c r="R919" s="3"/>
      <c r="S919" s="3"/>
      <c r="T919" t="s">
        <v>49</v>
      </c>
      <c r="V919" s="3"/>
      <c r="W919" s="3"/>
      <c r="X919" s="3"/>
      <c r="Y919" s="3"/>
      <c r="Z919" s="3"/>
      <c r="AA919" s="3"/>
      <c r="AB919" s="3"/>
    </row>
    <row r="920" spans="1:29" x14ac:dyDescent="0.3">
      <c r="A920" s="2" t="str">
        <f>HYPERLINK("https://www.cadth.ca/mometasone-furoate-and-formoterol", "Zenhale (inhalation aerosol)")</f>
        <v>Zenhale (inhalation aerosol)</v>
      </c>
      <c r="B920" t="s">
        <v>2813</v>
      </c>
      <c r="C920" t="s">
        <v>164</v>
      </c>
      <c r="D920" t="s">
        <v>39</v>
      </c>
      <c r="E920" t="s">
        <v>40</v>
      </c>
      <c r="F920" s="3">
        <v>40590</v>
      </c>
      <c r="G920" s="3">
        <v>40814</v>
      </c>
      <c r="H920" t="s">
        <v>2814</v>
      </c>
      <c r="I920" t="s">
        <v>33</v>
      </c>
      <c r="N920" s="3"/>
      <c r="O920" t="s">
        <v>1297</v>
      </c>
      <c r="Q920" s="3"/>
      <c r="R920" s="3"/>
      <c r="S920" s="3"/>
      <c r="T920" t="s">
        <v>36</v>
      </c>
      <c r="V920" s="3"/>
      <c r="W920" s="3"/>
      <c r="X920" s="3"/>
      <c r="Y920" s="3"/>
      <c r="Z920" s="3"/>
      <c r="AA920" s="3"/>
      <c r="AB920" s="3"/>
    </row>
    <row r="921" spans="1:29" x14ac:dyDescent="0.3">
      <c r="A921" s="2" t="str">
        <f>HYPERLINK("https://www.cadth.ca/elbasvirgrazoprevir", "Zepatier")</f>
        <v>Zepatier</v>
      </c>
      <c r="B921" t="s">
        <v>2815</v>
      </c>
      <c r="C921" t="s">
        <v>825</v>
      </c>
      <c r="D921" t="s">
        <v>55</v>
      </c>
      <c r="E921" t="s">
        <v>40</v>
      </c>
      <c r="F921" s="3">
        <v>42304</v>
      </c>
      <c r="G921" s="3">
        <v>42509</v>
      </c>
      <c r="H921" t="s">
        <v>2816</v>
      </c>
      <c r="I921" t="s">
        <v>33</v>
      </c>
      <c r="N921" s="3"/>
      <c r="O921" t="s">
        <v>289</v>
      </c>
      <c r="Q921" s="3"/>
      <c r="R921" s="3"/>
      <c r="S921" s="3"/>
      <c r="T921" t="s">
        <v>36</v>
      </c>
      <c r="V921" s="3"/>
      <c r="W921" s="3"/>
      <c r="X921" s="3"/>
      <c r="Y921" s="3"/>
      <c r="Z921" s="3"/>
      <c r="AA921" s="3"/>
      <c r="AB921" s="3"/>
    </row>
    <row r="922" spans="1:29" x14ac:dyDescent="0.3">
      <c r="A922" s="2" t="str">
        <f>HYPERLINK("https://www.cadth.ca/ozanimod", "Zeposia")</f>
        <v>Zeposia</v>
      </c>
      <c r="B922" t="s">
        <v>2817</v>
      </c>
      <c r="C922" t="s">
        <v>2818</v>
      </c>
      <c r="D922" t="s">
        <v>127</v>
      </c>
      <c r="E922" t="s">
        <v>40</v>
      </c>
      <c r="F922" s="3">
        <v>44068</v>
      </c>
      <c r="G922" s="3">
        <v>44370</v>
      </c>
      <c r="H922" t="s">
        <v>2819</v>
      </c>
      <c r="I922" t="s">
        <v>33</v>
      </c>
      <c r="N922" s="3"/>
      <c r="O922" t="s">
        <v>61</v>
      </c>
      <c r="Q922" s="3"/>
      <c r="R922" s="3"/>
      <c r="S922" s="3"/>
      <c r="T922" t="s">
        <v>36</v>
      </c>
      <c r="V922" s="3"/>
      <c r="W922" s="3"/>
      <c r="X922" s="3"/>
      <c r="Y922" s="3"/>
      <c r="Z922" s="3"/>
      <c r="AA922" s="3"/>
      <c r="AB922" s="3"/>
    </row>
    <row r="923" spans="1:29" x14ac:dyDescent="0.3">
      <c r="A923" s="2" t="str">
        <f>HYPERLINK("https://www.cadth.ca/node/115931", "Zevalin")</f>
        <v>Zevalin</v>
      </c>
      <c r="B923" t="s">
        <v>2820</v>
      </c>
      <c r="D923" t="s">
        <v>577</v>
      </c>
      <c r="E923" t="s">
        <v>578</v>
      </c>
      <c r="F923" s="3"/>
      <c r="G923" s="3"/>
      <c r="H923" t="s">
        <v>391</v>
      </c>
      <c r="I923" t="s">
        <v>33</v>
      </c>
      <c r="K923" t="s">
        <v>96</v>
      </c>
      <c r="N923" s="3"/>
      <c r="O923" t="s">
        <v>372</v>
      </c>
      <c r="Q923" s="3"/>
      <c r="R923" s="3"/>
      <c r="S923" s="3"/>
      <c r="V923" s="3"/>
      <c r="W923" s="3"/>
      <c r="X923" s="3"/>
      <c r="Y923" s="3"/>
      <c r="Z923" s="3"/>
      <c r="AA923" s="3"/>
      <c r="AB923" s="3"/>
      <c r="AC923" t="s">
        <v>694</v>
      </c>
    </row>
    <row r="924" spans="1:29" x14ac:dyDescent="0.3">
      <c r="A924" s="2" t="str">
        <f>HYPERLINK("https://www.cadth.ca/daclizumab-beta", "Zinbryta")</f>
        <v>Zinbryta</v>
      </c>
      <c r="B924" t="s">
        <v>2821</v>
      </c>
      <c r="C924" t="s">
        <v>988</v>
      </c>
      <c r="D924" t="s">
        <v>55</v>
      </c>
      <c r="E924" t="s">
        <v>40</v>
      </c>
      <c r="F924" s="3">
        <v>42724</v>
      </c>
      <c r="G924" s="3">
        <v>42906</v>
      </c>
      <c r="H924" t="s">
        <v>2822</v>
      </c>
      <c r="I924" t="s">
        <v>33</v>
      </c>
      <c r="N924" s="3"/>
      <c r="O924" t="s">
        <v>1874</v>
      </c>
      <c r="Q924" s="3"/>
      <c r="R924" s="3"/>
      <c r="S924" s="3"/>
      <c r="T924" t="s">
        <v>36</v>
      </c>
      <c r="V924" s="3"/>
      <c r="W924" s="3"/>
      <c r="X924" s="3"/>
      <c r="Y924" s="3"/>
      <c r="Z924" s="3"/>
      <c r="AA924" s="3"/>
      <c r="AB924" s="3"/>
    </row>
    <row r="925" spans="1:29" x14ac:dyDescent="0.3">
      <c r="A925" s="2" t="str">
        <f>HYPERLINK("https://www.cadth.ca/onasemnogene-abeparvovec", "Zolgensma")</f>
        <v>Zolgensma</v>
      </c>
      <c r="B925" t="s">
        <v>2823</v>
      </c>
      <c r="C925" t="s">
        <v>2824</v>
      </c>
      <c r="D925" t="s">
        <v>55</v>
      </c>
      <c r="E925" t="s">
        <v>40</v>
      </c>
      <c r="F925" s="3">
        <v>44007</v>
      </c>
      <c r="G925" s="3">
        <v>44279</v>
      </c>
      <c r="H925" t="s">
        <v>2825</v>
      </c>
      <c r="I925" t="s">
        <v>33</v>
      </c>
      <c r="N925" s="3"/>
      <c r="O925" t="s">
        <v>71</v>
      </c>
      <c r="Q925" s="3"/>
      <c r="R925" s="3"/>
      <c r="S925" s="3"/>
      <c r="T925" t="s">
        <v>36</v>
      </c>
      <c r="V925" s="3"/>
      <c r="W925" s="3"/>
      <c r="X925" s="3"/>
      <c r="Y925" s="3"/>
      <c r="Z925" s="3"/>
      <c r="AA925" s="3"/>
      <c r="AB925" s="3"/>
    </row>
    <row r="926" spans="1:29" x14ac:dyDescent="0.3">
      <c r="A926" s="2" t="str">
        <f>HYPERLINK("https://www.cadth.ca/vorinostat", "Zolinza")</f>
        <v>Zolinza</v>
      </c>
      <c r="B926" t="s">
        <v>2826</v>
      </c>
      <c r="C926" t="s">
        <v>2827</v>
      </c>
      <c r="D926" t="s">
        <v>577</v>
      </c>
      <c r="E926" t="s">
        <v>578</v>
      </c>
      <c r="F926" s="3"/>
      <c r="G926" s="3"/>
      <c r="H926" t="s">
        <v>391</v>
      </c>
      <c r="I926" t="s">
        <v>33</v>
      </c>
      <c r="N926" s="3"/>
      <c r="O926" t="s">
        <v>289</v>
      </c>
      <c r="Q926" s="3"/>
      <c r="R926" s="3"/>
      <c r="S926" s="3"/>
      <c r="T926" t="s">
        <v>579</v>
      </c>
      <c r="V926" s="3"/>
      <c r="W926" s="3"/>
      <c r="X926" s="3"/>
      <c r="Y926" s="3"/>
      <c r="Z926" s="3"/>
      <c r="AA926" s="3"/>
      <c r="AB926" s="3"/>
    </row>
    <row r="927" spans="1:29" x14ac:dyDescent="0.3">
      <c r="A927" s="2" t="str">
        <f>HYPERLINK("https://www.cadth.ca/node/93698", "Zydelig")</f>
        <v>Zydelig</v>
      </c>
      <c r="B927" t="s">
        <v>2828</v>
      </c>
      <c r="C927" t="s">
        <v>967</v>
      </c>
      <c r="D927" t="s">
        <v>127</v>
      </c>
      <c r="E927" t="s">
        <v>40</v>
      </c>
      <c r="F927" s="3">
        <v>42472</v>
      </c>
      <c r="G927" s="3">
        <v>42642</v>
      </c>
      <c r="H927" t="s">
        <v>2829</v>
      </c>
      <c r="I927" t="s">
        <v>33</v>
      </c>
      <c r="J927" t="s">
        <v>2830</v>
      </c>
      <c r="K927" t="s">
        <v>96</v>
      </c>
      <c r="L927" t="s">
        <v>2831</v>
      </c>
      <c r="N927" s="3">
        <v>42090</v>
      </c>
      <c r="O927" t="s">
        <v>2832</v>
      </c>
      <c r="P927" t="s">
        <v>2832</v>
      </c>
      <c r="Q927" s="3"/>
      <c r="R927" s="3"/>
      <c r="S927" s="3">
        <v>42479</v>
      </c>
      <c r="U927" t="s">
        <v>62</v>
      </c>
      <c r="V927" s="3">
        <v>42486</v>
      </c>
      <c r="W927" s="3">
        <v>42516</v>
      </c>
      <c r="X927" s="3">
        <v>42572</v>
      </c>
      <c r="Y927" s="3">
        <v>42587</v>
      </c>
      <c r="Z927" s="3">
        <v>42601</v>
      </c>
      <c r="AA927" s="3"/>
      <c r="AB927" s="3">
        <v>42660</v>
      </c>
    </row>
    <row r="928" spans="1:29" x14ac:dyDescent="0.3">
      <c r="A928" s="2" t="str">
        <f>HYPERLINK("https://www.cadth.ca/node/88604", "Zydelig")</f>
        <v>Zydelig</v>
      </c>
      <c r="B928" t="s">
        <v>2828</v>
      </c>
      <c r="C928" t="s">
        <v>2833</v>
      </c>
      <c r="D928" t="s">
        <v>55</v>
      </c>
      <c r="E928" t="s">
        <v>40</v>
      </c>
      <c r="F928" s="3">
        <v>42101</v>
      </c>
      <c r="G928" s="3">
        <v>42234</v>
      </c>
      <c r="H928" t="s">
        <v>2834</v>
      </c>
      <c r="I928" t="s">
        <v>33</v>
      </c>
      <c r="J928" t="s">
        <v>2835</v>
      </c>
      <c r="K928" t="s">
        <v>284</v>
      </c>
      <c r="L928" t="s">
        <v>2836</v>
      </c>
      <c r="N928" s="3">
        <v>42090</v>
      </c>
      <c r="O928" t="s">
        <v>2832</v>
      </c>
      <c r="P928" t="s">
        <v>2832</v>
      </c>
      <c r="Q928" s="3"/>
      <c r="R928" s="3"/>
      <c r="S928" s="3">
        <v>42108</v>
      </c>
      <c r="U928" t="s">
        <v>62</v>
      </c>
      <c r="V928" s="3">
        <v>42115</v>
      </c>
      <c r="W928" s="3">
        <v>42152</v>
      </c>
      <c r="X928" s="3">
        <v>42201</v>
      </c>
      <c r="Y928" s="3">
        <v>42215</v>
      </c>
      <c r="Z928" s="3">
        <v>42230</v>
      </c>
      <c r="AA928" s="3"/>
      <c r="AB928" s="3">
        <v>42249</v>
      </c>
    </row>
    <row r="929" spans="1:29" x14ac:dyDescent="0.3">
      <c r="A929" s="2" t="str">
        <f>HYPERLINK("https://www.cadth.ca/node/88900", "Zykadia")</f>
        <v>Zykadia</v>
      </c>
      <c r="B929" t="s">
        <v>2837</v>
      </c>
      <c r="C929" t="s">
        <v>2838</v>
      </c>
      <c r="D929" t="s">
        <v>127</v>
      </c>
      <c r="E929" t="s">
        <v>40</v>
      </c>
      <c r="F929" s="3">
        <v>42160</v>
      </c>
      <c r="G929" s="3">
        <v>42341</v>
      </c>
      <c r="H929" t="s">
        <v>2839</v>
      </c>
      <c r="I929" t="s">
        <v>33</v>
      </c>
      <c r="J929" t="s">
        <v>209</v>
      </c>
      <c r="K929" t="s">
        <v>205</v>
      </c>
      <c r="L929" t="s">
        <v>2840</v>
      </c>
      <c r="N929" s="3">
        <v>42090</v>
      </c>
      <c r="O929" t="s">
        <v>1092</v>
      </c>
      <c r="P929" t="s">
        <v>1092</v>
      </c>
      <c r="Q929" s="3"/>
      <c r="R929" s="3"/>
      <c r="S929" s="3">
        <v>42167</v>
      </c>
      <c r="U929" t="s">
        <v>62</v>
      </c>
      <c r="V929" s="3">
        <v>42174</v>
      </c>
      <c r="W929" s="3">
        <v>42214</v>
      </c>
      <c r="X929" s="3">
        <v>42264</v>
      </c>
      <c r="Y929" s="3">
        <v>42278</v>
      </c>
      <c r="Z929" s="3">
        <v>42293</v>
      </c>
      <c r="AA929" s="3"/>
      <c r="AB929" s="3">
        <v>42356</v>
      </c>
    </row>
    <row r="930" spans="1:29" x14ac:dyDescent="0.3">
      <c r="A930" s="2" t="str">
        <f>HYPERLINK("https://www.cadth.ca/node/96853", "Zykadia (Resubmission)")</f>
        <v>Zykadia (Resubmission)</v>
      </c>
      <c r="B930" t="s">
        <v>2837</v>
      </c>
      <c r="C930" t="s">
        <v>2841</v>
      </c>
      <c r="D930" t="s">
        <v>55</v>
      </c>
      <c r="E930" t="s">
        <v>40</v>
      </c>
      <c r="F930" s="3">
        <v>42662</v>
      </c>
      <c r="G930" s="3">
        <v>42815</v>
      </c>
      <c r="H930" t="s">
        <v>2842</v>
      </c>
      <c r="I930" t="s">
        <v>33</v>
      </c>
      <c r="K930" t="s">
        <v>205</v>
      </c>
      <c r="L930" t="s">
        <v>2843</v>
      </c>
      <c r="N930" s="3">
        <v>42090</v>
      </c>
      <c r="O930" t="s">
        <v>71</v>
      </c>
      <c r="P930" t="s">
        <v>71</v>
      </c>
      <c r="Q930" s="3"/>
      <c r="R930" s="3"/>
      <c r="S930" s="3">
        <v>42676</v>
      </c>
      <c r="U930" t="s">
        <v>62</v>
      </c>
      <c r="V930" s="3">
        <v>42676</v>
      </c>
      <c r="W930" s="3">
        <v>42712</v>
      </c>
      <c r="X930" s="3">
        <v>42782</v>
      </c>
      <c r="Y930" s="3">
        <v>42797</v>
      </c>
      <c r="Z930" s="3">
        <v>42811</v>
      </c>
      <c r="AA930" s="3"/>
      <c r="AB930" s="3">
        <v>42830</v>
      </c>
    </row>
    <row r="931" spans="1:29" x14ac:dyDescent="0.3">
      <c r="A931" s="2" t="str">
        <f>HYPERLINK("https://www.cadth.ca/node/112316", "Zytiga")</f>
        <v>Zytiga</v>
      </c>
      <c r="B931" t="s">
        <v>2844</v>
      </c>
      <c r="E931" t="s">
        <v>113</v>
      </c>
      <c r="F931" s="3">
        <v>43521</v>
      </c>
      <c r="G931" s="3"/>
      <c r="H931" t="s">
        <v>2845</v>
      </c>
      <c r="I931" t="s">
        <v>33</v>
      </c>
      <c r="J931" t="s">
        <v>2846</v>
      </c>
      <c r="K931" t="s">
        <v>367</v>
      </c>
      <c r="L931" t="s">
        <v>2847</v>
      </c>
      <c r="N931" s="3">
        <v>43146</v>
      </c>
      <c r="O931" t="s">
        <v>665</v>
      </c>
      <c r="P931" t="s">
        <v>2848</v>
      </c>
      <c r="Q931" s="3"/>
      <c r="R931" s="3"/>
      <c r="S931" s="3">
        <v>43535</v>
      </c>
      <c r="V931" s="3">
        <v>43535</v>
      </c>
      <c r="W931" s="3"/>
      <c r="X931" s="3"/>
      <c r="Y931" s="3"/>
      <c r="Z931" s="3"/>
      <c r="AA931" s="3"/>
      <c r="AB931" s="3"/>
      <c r="AC931" t="s">
        <v>2849</v>
      </c>
    </row>
    <row r="932" spans="1:29" x14ac:dyDescent="0.3">
      <c r="A932" s="2" t="str">
        <f>HYPERLINK("https://www.cadth.ca/node/79692", "Zytiga")</f>
        <v>Zytiga</v>
      </c>
      <c r="B932" t="s">
        <v>2850</v>
      </c>
      <c r="C932" t="s">
        <v>2755</v>
      </c>
      <c r="D932" t="s">
        <v>55</v>
      </c>
      <c r="E932" t="s">
        <v>40</v>
      </c>
      <c r="F932" s="3">
        <v>41361</v>
      </c>
      <c r="G932" s="3">
        <v>41569</v>
      </c>
      <c r="H932" t="s">
        <v>2851</v>
      </c>
      <c r="I932" t="s">
        <v>33</v>
      </c>
      <c r="J932" t="s">
        <v>2852</v>
      </c>
      <c r="K932" t="s">
        <v>367</v>
      </c>
      <c r="L932" t="s">
        <v>2853</v>
      </c>
      <c r="M932" t="s">
        <v>60</v>
      </c>
      <c r="N932" s="3">
        <v>41422</v>
      </c>
      <c r="O932" t="s">
        <v>665</v>
      </c>
      <c r="P932" t="s">
        <v>665</v>
      </c>
      <c r="Q932" s="3"/>
      <c r="R932" s="3"/>
      <c r="S932" s="3">
        <v>41372</v>
      </c>
      <c r="U932" t="s">
        <v>427</v>
      </c>
      <c r="V932" s="3">
        <v>41379</v>
      </c>
      <c r="W932" s="3">
        <v>41449</v>
      </c>
      <c r="X932" s="3">
        <v>41536</v>
      </c>
      <c r="Y932" s="3">
        <v>41550</v>
      </c>
      <c r="Z932" s="3">
        <v>41565</v>
      </c>
      <c r="AA932" s="3"/>
      <c r="AB932" s="3">
        <v>41584</v>
      </c>
    </row>
    <row r="933" spans="1:29" x14ac:dyDescent="0.3">
      <c r="A933" s="2" t="str">
        <f>HYPERLINK("https://www.cadth.ca/node/116083", "Zytiga (Resubmission)")</f>
        <v>Zytiga (Resubmission)</v>
      </c>
      <c r="B933" t="s">
        <v>2844</v>
      </c>
      <c r="C933" t="s">
        <v>2854</v>
      </c>
      <c r="E933" t="s">
        <v>113</v>
      </c>
      <c r="F933" s="3">
        <v>43675</v>
      </c>
      <c r="G933" s="3"/>
      <c r="H933" t="s">
        <v>2855</v>
      </c>
      <c r="I933" t="s">
        <v>33</v>
      </c>
      <c r="J933" t="s">
        <v>2846</v>
      </c>
      <c r="K933" t="s">
        <v>367</v>
      </c>
      <c r="L933" t="s">
        <v>2856</v>
      </c>
      <c r="N933" s="3">
        <v>43146</v>
      </c>
      <c r="O933" t="s">
        <v>665</v>
      </c>
      <c r="P933" t="s">
        <v>2848</v>
      </c>
      <c r="Q933" s="3"/>
      <c r="R933" s="3"/>
      <c r="S933" s="3">
        <v>43767</v>
      </c>
      <c r="V933" s="3">
        <v>43690</v>
      </c>
      <c r="W933" s="3"/>
      <c r="X933" s="3"/>
      <c r="Y933" s="3"/>
      <c r="Z933" s="3"/>
      <c r="AA933" s="3"/>
      <c r="AB933" s="3"/>
      <c r="AC933" t="s">
        <v>2857</v>
      </c>
    </row>
    <row r="934" spans="1:29" x14ac:dyDescent="0.3">
      <c r="A934" s="2" t="str">
        <f>HYPERLINK("https://www.cadth.ca/tramadol-hydrochloride", "Zytram XL")</f>
        <v>Zytram XL</v>
      </c>
      <c r="B934" t="s">
        <v>1952</v>
      </c>
      <c r="C934" t="s">
        <v>2858</v>
      </c>
      <c r="E934" t="s">
        <v>113</v>
      </c>
      <c r="F934" s="3">
        <v>39024</v>
      </c>
      <c r="G934" s="3"/>
      <c r="H934" t="s">
        <v>2859</v>
      </c>
      <c r="I934" t="s">
        <v>33</v>
      </c>
      <c r="N934" s="3"/>
      <c r="O934" t="s">
        <v>196</v>
      </c>
      <c r="Q934" s="3"/>
      <c r="R934" s="3"/>
      <c r="S934" s="3"/>
      <c r="T934" t="s">
        <v>36</v>
      </c>
      <c r="V934" s="3"/>
      <c r="W934" s="3"/>
      <c r="X934" s="3"/>
      <c r="Y934" s="3"/>
      <c r="Z934" s="3"/>
      <c r="AA934" s="3"/>
      <c r="AB934" s="3"/>
    </row>
    <row r="935" spans="1:29" x14ac:dyDescent="0.3">
      <c r="A935" s="2" t="str">
        <f>HYPERLINK("https://www.cadth.ca/tramadol-hydrochloride-0", "Zytram XL")</f>
        <v>Zytram XL</v>
      </c>
      <c r="B935" t="s">
        <v>1952</v>
      </c>
      <c r="C935" t="s">
        <v>2858</v>
      </c>
      <c r="D935" t="s">
        <v>39</v>
      </c>
      <c r="E935" t="s">
        <v>40</v>
      </c>
      <c r="F935" s="3">
        <v>39156</v>
      </c>
      <c r="G935" s="3">
        <v>39351</v>
      </c>
      <c r="H935" t="s">
        <v>2860</v>
      </c>
      <c r="I935" t="s">
        <v>33</v>
      </c>
      <c r="N935" s="3"/>
      <c r="O935" t="s">
        <v>196</v>
      </c>
      <c r="Q935" s="3"/>
      <c r="R935" s="3"/>
      <c r="S935" s="3"/>
      <c r="T935" t="s">
        <v>142</v>
      </c>
      <c r="V935" s="3"/>
      <c r="W935" s="3"/>
      <c r="X935" s="3"/>
      <c r="Y935" s="3"/>
      <c r="Z935" s="3"/>
      <c r="AA935" s="3"/>
      <c r="AB935" s="3"/>
    </row>
    <row r="936" spans="1:29" x14ac:dyDescent="0.3">
      <c r="A936" s="2" t="str">
        <f>HYPERLINK("https://www.cadth.ca/node/119930", "")</f>
        <v/>
      </c>
      <c r="F936" s="3"/>
      <c r="G936" s="3"/>
      <c r="I936" t="s">
        <v>33</v>
      </c>
      <c r="N936" s="3"/>
      <c r="Q936" s="3"/>
      <c r="R936" s="3"/>
      <c r="S936" s="3"/>
      <c r="V936" s="3"/>
      <c r="W936" s="3"/>
      <c r="X936" s="3"/>
      <c r="Y936" s="3"/>
      <c r="Z936" s="3"/>
      <c r="AA936" s="3"/>
      <c r="AB936" s="3"/>
    </row>
    <row r="937" spans="1:29" x14ac:dyDescent="0.3">
      <c r="A937" s="2" t="str">
        <f>HYPERLINK("https://www.cadth.ca/node/121512", "")</f>
        <v/>
      </c>
      <c r="F937" s="3"/>
      <c r="G937" s="3"/>
      <c r="I937" t="s">
        <v>33</v>
      </c>
      <c r="N937" s="3"/>
      <c r="Q937" s="3"/>
      <c r="R937" s="3"/>
      <c r="S937" s="3"/>
      <c r="V937" s="3"/>
      <c r="W937" s="3"/>
      <c r="X937" s="3"/>
      <c r="Y937" s="3"/>
      <c r="Z937" s="3"/>
      <c r="AA937" s="3"/>
      <c r="AB937" s="3"/>
    </row>
    <row r="938" spans="1:29" x14ac:dyDescent="0.3">
      <c r="A938" s="2" t="str">
        <f>HYPERLINK("https://www.cadth.ca/node/124006", "")</f>
        <v/>
      </c>
      <c r="F938" s="3"/>
      <c r="G938" s="3"/>
      <c r="I938" t="s">
        <v>33</v>
      </c>
      <c r="N938" s="3"/>
      <c r="Q938" s="3"/>
      <c r="R938" s="3"/>
      <c r="S938" s="3"/>
      <c r="V938" s="3"/>
      <c r="W938" s="3"/>
      <c r="X938" s="3"/>
      <c r="Y938" s="3"/>
      <c r="Z938" s="3"/>
      <c r="AA938" s="3"/>
      <c r="AB938" s="3"/>
    </row>
    <row r="939" spans="1:29" x14ac:dyDescent="0.3">
      <c r="A939" s="2" t="str">
        <f>HYPERLINK("https://www.cadth.ca/node/124525", "")</f>
        <v/>
      </c>
      <c r="F939" s="3"/>
      <c r="G939" s="3"/>
      <c r="I939" t="s">
        <v>33</v>
      </c>
      <c r="N939" s="3"/>
      <c r="Q939" s="3"/>
      <c r="R939" s="3"/>
      <c r="S939" s="3"/>
      <c r="V939" s="3"/>
      <c r="W939" s="3"/>
      <c r="X939" s="3"/>
      <c r="Y939" s="3"/>
      <c r="Z939" s="3"/>
      <c r="AA939" s="3"/>
      <c r="AB939" s="3"/>
    </row>
    <row r="940" spans="1:29" x14ac:dyDescent="0.3">
      <c r="A940" s="2" t="str">
        <f>HYPERLINK("https://www.cadth.ca/node/125468", "")</f>
        <v/>
      </c>
      <c r="F940" s="3"/>
      <c r="G940" s="3"/>
      <c r="I940" t="s">
        <v>33</v>
      </c>
      <c r="N940" s="3"/>
      <c r="Q940" s="3"/>
      <c r="R940" s="3"/>
      <c r="S940" s="3"/>
      <c r="V940" s="3"/>
      <c r="W940" s="3"/>
      <c r="X940" s="3"/>
      <c r="Y940" s="3"/>
      <c r="Z940" s="3"/>
      <c r="AA940" s="3"/>
      <c r="AB940" s="3"/>
    </row>
    <row r="941" spans="1:29" x14ac:dyDescent="0.3">
      <c r="A941" s="2" t="str">
        <f>HYPERLINK("https://www.cadth.ca/node/112511", "")</f>
        <v/>
      </c>
      <c r="F941" s="3"/>
      <c r="G941" s="3"/>
      <c r="I941" t="s">
        <v>33</v>
      </c>
      <c r="N941" s="3"/>
      <c r="Q941" s="3"/>
      <c r="R941" s="3"/>
      <c r="S941" s="3"/>
      <c r="V941" s="3"/>
      <c r="W941" s="3"/>
      <c r="X941" s="3"/>
      <c r="Y941" s="3"/>
      <c r="Z941" s="3"/>
      <c r="AA941" s="3"/>
      <c r="AB941" s="3"/>
    </row>
    <row r="942" spans="1:29" x14ac:dyDescent="0.3">
      <c r="A942" s="2" t="str">
        <f>HYPERLINK("https://www.cadth.ca/node/114745", "")</f>
        <v/>
      </c>
      <c r="F942" s="3"/>
      <c r="G942" s="3"/>
      <c r="I942" t="s">
        <v>33</v>
      </c>
      <c r="N942" s="3"/>
      <c r="Q942" s="3"/>
      <c r="R942" s="3"/>
      <c r="S942" s="3"/>
      <c r="V942" s="3"/>
      <c r="W942" s="3"/>
      <c r="X942" s="3"/>
      <c r="Y942" s="3"/>
      <c r="Z942" s="3"/>
      <c r="AA942" s="3"/>
      <c r="AB942" s="3"/>
    </row>
    <row r="943" spans="1:29" x14ac:dyDescent="0.3">
      <c r="A943" s="2" t="str">
        <f>HYPERLINK("https://www.cadth.ca/node/117191", "")</f>
        <v/>
      </c>
      <c r="F943" s="3"/>
      <c r="G943" s="3"/>
      <c r="I943" t="s">
        <v>33</v>
      </c>
      <c r="N943" s="3"/>
      <c r="Q943" s="3"/>
      <c r="R943" s="3"/>
      <c r="S943" s="3"/>
      <c r="V943" s="3"/>
      <c r="W943" s="3"/>
      <c r="X943" s="3"/>
      <c r="Y943" s="3"/>
      <c r="Z943" s="3"/>
      <c r="AA943" s="3"/>
      <c r="AB943" s="3"/>
    </row>
    <row r="944" spans="1:29" x14ac:dyDescent="0.3">
      <c r="A944" s="2" t="str">
        <f>HYPERLINK("https://www.cadth.ca/node/123391", "")</f>
        <v/>
      </c>
      <c r="F944" s="3"/>
      <c r="G944" s="3"/>
      <c r="I944" t="s">
        <v>33</v>
      </c>
      <c r="N944" s="3"/>
      <c r="Q944" s="3"/>
      <c r="R944" s="3"/>
      <c r="S944" s="3"/>
      <c r="V944" s="3"/>
      <c r="W944" s="3"/>
      <c r="X944" s="3"/>
      <c r="Y944" s="3"/>
      <c r="Z944" s="3"/>
      <c r="AA944" s="3"/>
      <c r="AB944" s="3"/>
    </row>
    <row r="945" spans="1:28" x14ac:dyDescent="0.3">
      <c r="A945" s="2" t="str">
        <f>HYPERLINK("https://www.cadth.ca/node/126449", "")</f>
        <v/>
      </c>
      <c r="C945" t="s">
        <v>2861</v>
      </c>
      <c r="E945" t="s">
        <v>2862</v>
      </c>
      <c r="F945" s="3"/>
      <c r="G945" s="3"/>
      <c r="H945" t="s">
        <v>2863</v>
      </c>
      <c r="I945" t="s">
        <v>33</v>
      </c>
      <c r="N945" s="3"/>
      <c r="Q945" s="3"/>
      <c r="R945" s="3"/>
      <c r="S945" s="3"/>
      <c r="V945" s="3"/>
      <c r="W945" s="3"/>
      <c r="X945" s="3"/>
      <c r="Y945" s="3"/>
      <c r="Z945" s="3"/>
      <c r="AA945" s="3"/>
      <c r="AB945" s="3"/>
    </row>
    <row r="946" spans="1:28" x14ac:dyDescent="0.3">
      <c r="A946" s="2" t="str">
        <f>HYPERLINK("https://www.cadth.ca/node/123278", "")</f>
        <v/>
      </c>
      <c r="C946" t="s">
        <v>2864</v>
      </c>
      <c r="E946" t="s">
        <v>40</v>
      </c>
      <c r="F946" s="3"/>
      <c r="G946" s="3"/>
      <c r="H946" t="s">
        <v>2865</v>
      </c>
      <c r="I946" t="s">
        <v>33</v>
      </c>
      <c r="N946" s="3"/>
      <c r="Q946" s="3"/>
      <c r="R946" s="3"/>
      <c r="S946" s="3"/>
      <c r="V946" s="3"/>
      <c r="W946" s="3"/>
      <c r="X946" s="3"/>
      <c r="Y946" s="3"/>
      <c r="Z946" s="3"/>
      <c r="AA946" s="3"/>
      <c r="AB946" s="3"/>
    </row>
    <row r="947" spans="1:28" x14ac:dyDescent="0.3">
      <c r="A947" s="2" t="str">
        <f>HYPERLINK("https://www.cadth.ca/node/124218", "")</f>
        <v/>
      </c>
      <c r="C947" t="s">
        <v>2864</v>
      </c>
      <c r="F947" s="3"/>
      <c r="G947" s="3"/>
      <c r="H947" t="s">
        <v>2866</v>
      </c>
      <c r="I947" t="s">
        <v>33</v>
      </c>
      <c r="N947" s="3"/>
      <c r="Q947" s="3"/>
      <c r="R947" s="3"/>
      <c r="S947" s="3"/>
      <c r="V947" s="3"/>
      <c r="W947" s="3"/>
      <c r="X947" s="3"/>
      <c r="Y947" s="3"/>
      <c r="Z947" s="3"/>
      <c r="AA947" s="3"/>
      <c r="AB947" s="3"/>
    </row>
    <row r="948" spans="1:28" x14ac:dyDescent="0.3">
      <c r="A948" s="2" t="str">
        <f>HYPERLINK("https://www.cadth.ca/node/110895", "")</f>
        <v/>
      </c>
      <c r="F948" s="3"/>
      <c r="G948" s="3"/>
      <c r="I948" t="s">
        <v>33</v>
      </c>
      <c r="N948" s="3"/>
      <c r="Q948" s="3"/>
      <c r="R948" s="3"/>
      <c r="S948" s="3"/>
      <c r="V948" s="3"/>
      <c r="W948" s="3"/>
      <c r="X948" s="3"/>
      <c r="Y948" s="3"/>
      <c r="Z948" s="3"/>
      <c r="AA948" s="3"/>
      <c r="AB948" s="3"/>
    </row>
    <row r="949" spans="1:28" x14ac:dyDescent="0.3">
      <c r="A949" s="2" t="str">
        <f>HYPERLINK("https://www.cadth.ca/node/110328", "")</f>
        <v/>
      </c>
      <c r="F949" s="3"/>
      <c r="G949" s="3"/>
      <c r="I949" t="s">
        <v>33</v>
      </c>
      <c r="N949" s="3"/>
      <c r="Q949" s="3"/>
      <c r="R949" s="3"/>
      <c r="S949" s="3"/>
      <c r="V949" s="3"/>
      <c r="W949" s="3"/>
      <c r="X949" s="3"/>
      <c r="Y949" s="3"/>
      <c r="Z949" s="3"/>
      <c r="AA949" s="3"/>
      <c r="AB949" s="3"/>
    </row>
    <row r="950" spans="1:28" x14ac:dyDescent="0.3">
      <c r="A950" s="2" t="str">
        <f>HYPERLINK("https://www.cadth.ca/node/111292", "")</f>
        <v/>
      </c>
      <c r="F950" s="3"/>
      <c r="G950" s="3"/>
      <c r="I950" t="s">
        <v>33</v>
      </c>
      <c r="N950" s="3"/>
      <c r="Q950" s="3"/>
      <c r="R950" s="3"/>
      <c r="S950" s="3"/>
      <c r="V950" s="3"/>
      <c r="W950" s="3"/>
      <c r="X950" s="3"/>
      <c r="Y950" s="3"/>
      <c r="Z950" s="3"/>
      <c r="AA950" s="3"/>
      <c r="AB950" s="3"/>
    </row>
    <row r="951" spans="1:28" x14ac:dyDescent="0.3">
      <c r="A951" s="2" t="str">
        <f>HYPERLINK("https://www.cadth.ca/node/124901", "")</f>
        <v/>
      </c>
      <c r="F951" s="3"/>
      <c r="G951" s="3"/>
      <c r="I951" t="s">
        <v>33</v>
      </c>
      <c r="N951" s="3"/>
      <c r="Q951" s="3"/>
      <c r="R951" s="3"/>
      <c r="S951" s="3"/>
      <c r="V951" s="3"/>
      <c r="W951" s="3"/>
      <c r="X951" s="3"/>
      <c r="Y951" s="3"/>
      <c r="Z951" s="3"/>
      <c r="AA951" s="3"/>
      <c r="AB951" s="3"/>
    </row>
    <row r="952" spans="1:28" x14ac:dyDescent="0.3">
      <c r="A952" s="2" t="str">
        <f>HYPERLINK("https://www.cadth.ca/node/119347", "")</f>
        <v/>
      </c>
      <c r="F952" s="3"/>
      <c r="G952" s="3"/>
      <c r="I952" t="s">
        <v>33</v>
      </c>
      <c r="N952" s="3"/>
      <c r="Q952" s="3"/>
      <c r="R952" s="3"/>
      <c r="S952" s="3"/>
      <c r="V952" s="3"/>
      <c r="W952" s="3"/>
      <c r="X952" s="3"/>
      <c r="Y952" s="3"/>
      <c r="Z952" s="3"/>
      <c r="AA952" s="3"/>
      <c r="AB952" s="3"/>
    </row>
    <row r="953" spans="1:28" x14ac:dyDescent="0.3">
      <c r="A953" s="2" t="str">
        <f>HYPERLINK("https://www.cadth.ca/node/120698", "")</f>
        <v/>
      </c>
      <c r="F953" s="3"/>
      <c r="G953" s="3"/>
      <c r="I953" t="s">
        <v>33</v>
      </c>
      <c r="N953" s="3"/>
      <c r="Q953" s="3"/>
      <c r="R953" s="3"/>
      <c r="S953" s="3"/>
      <c r="V953" s="3"/>
      <c r="W953" s="3"/>
      <c r="X953" s="3"/>
      <c r="Y953" s="3"/>
      <c r="Z953" s="3"/>
      <c r="AA953" s="3"/>
      <c r="AB953" s="3"/>
    </row>
    <row r="954" spans="1:28" x14ac:dyDescent="0.3">
      <c r="A954" s="2" t="str">
        <f>HYPERLINK("https://www.cadth.ca/node/124901", "")</f>
        <v/>
      </c>
      <c r="F954" s="3"/>
      <c r="G954" s="3"/>
      <c r="I954" t="s">
        <v>33</v>
      </c>
      <c r="N954" s="3"/>
      <c r="Q954" s="3"/>
      <c r="R954" s="3"/>
      <c r="S954" s="3"/>
      <c r="V954" s="3"/>
      <c r="W954" s="3"/>
      <c r="X954" s="3"/>
      <c r="Y954" s="3"/>
      <c r="Z954" s="3"/>
      <c r="AA954" s="3"/>
      <c r="AB954" s="3"/>
    </row>
    <row r="955" spans="1:28" x14ac:dyDescent="0.3">
      <c r="A955" s="2" t="str">
        <f>HYPERLINK("https://www.cadth.ca/node/126373", "")</f>
        <v/>
      </c>
      <c r="F955" s="3"/>
      <c r="G955" s="3"/>
      <c r="I955" t="s">
        <v>33</v>
      </c>
      <c r="N955" s="3"/>
      <c r="Q955" s="3"/>
      <c r="R955" s="3"/>
      <c r="S955" s="3"/>
      <c r="V955" s="3"/>
      <c r="W955" s="3"/>
      <c r="X955" s="3"/>
      <c r="Y955" s="3"/>
      <c r="Z955" s="3"/>
      <c r="AA955" s="3"/>
      <c r="AB955" s="3"/>
    </row>
    <row r="956" spans="1:28" x14ac:dyDescent="0.3">
      <c r="A956" s="2" t="str">
        <f>HYPERLINK("https://www.cadth.ca/node/126518", "")</f>
        <v/>
      </c>
      <c r="F956" s="3"/>
      <c r="G956" s="3"/>
      <c r="I956" t="s">
        <v>33</v>
      </c>
      <c r="N956" s="3"/>
      <c r="Q956" s="3"/>
      <c r="R956" s="3"/>
      <c r="S956" s="3"/>
      <c r="V956" s="3"/>
      <c r="W956" s="3"/>
      <c r="X956" s="3"/>
      <c r="Y956" s="3"/>
      <c r="Z956" s="3"/>
      <c r="AA956" s="3"/>
      <c r="AB956" s="3"/>
    </row>
    <row r="957" spans="1:28" x14ac:dyDescent="0.3">
      <c r="A957" s="2" t="str">
        <f>HYPERLINK("https://www.cadth.ca/node/115376", "")</f>
        <v/>
      </c>
      <c r="F957" s="3"/>
      <c r="G957" s="3"/>
      <c r="I957" t="s">
        <v>33</v>
      </c>
      <c r="N957" s="3"/>
      <c r="Q957" s="3"/>
      <c r="R957" s="3"/>
      <c r="S957" s="3"/>
      <c r="V957" s="3"/>
      <c r="W957" s="3"/>
      <c r="X957" s="3"/>
      <c r="Y957" s="3"/>
      <c r="Z957" s="3"/>
      <c r="AA957" s="3"/>
      <c r="AB957" s="3"/>
    </row>
    <row r="958" spans="1:28" x14ac:dyDescent="0.3">
      <c r="A958" s="2" t="str">
        <f>HYPERLINK("https://www.cadth.ca/node/116745", "")</f>
        <v/>
      </c>
      <c r="F958" s="3"/>
      <c r="G958" s="3"/>
      <c r="I958" t="s">
        <v>33</v>
      </c>
      <c r="N958" s="3"/>
      <c r="Q958" s="3"/>
      <c r="R958" s="3"/>
      <c r="S958" s="3"/>
      <c r="V958" s="3"/>
      <c r="W958" s="3"/>
      <c r="X958" s="3"/>
      <c r="Y958" s="3"/>
      <c r="Z958" s="3"/>
      <c r="AA958" s="3"/>
      <c r="AB958" s="3"/>
    </row>
    <row r="959" spans="1:28" x14ac:dyDescent="0.3">
      <c r="A959" s="2" t="str">
        <f>HYPERLINK("https://www.cadth.ca/node/118776", "")</f>
        <v/>
      </c>
      <c r="F959" s="3"/>
      <c r="G959" s="3"/>
      <c r="I959" t="s">
        <v>33</v>
      </c>
      <c r="N959" s="3"/>
      <c r="Q959" s="3"/>
      <c r="R959" s="3"/>
      <c r="S959" s="3"/>
      <c r="V959" s="3"/>
      <c r="W959" s="3"/>
      <c r="X959" s="3"/>
      <c r="Y959" s="3"/>
      <c r="Z959" s="3"/>
      <c r="AA959" s="3"/>
      <c r="AB959" s="3"/>
    </row>
    <row r="960" spans="1:28" x14ac:dyDescent="0.3">
      <c r="A960" s="2" t="str">
        <f>HYPERLINK("https://www.cadth.ca/node/122630", "")</f>
        <v/>
      </c>
      <c r="E960" t="s">
        <v>737</v>
      </c>
      <c r="F960" s="3"/>
      <c r="G960" s="3"/>
      <c r="I960" t="s">
        <v>33</v>
      </c>
      <c r="N960" s="3"/>
      <c r="Q960" s="3"/>
      <c r="R960" s="3"/>
      <c r="S960" s="3"/>
      <c r="V960" s="3"/>
      <c r="W960" s="3"/>
      <c r="X960" s="3"/>
      <c r="Y960" s="3"/>
      <c r="Z960" s="3"/>
      <c r="AA960" s="3"/>
      <c r="AB960" s="3"/>
    </row>
    <row r="961" spans="1:28" x14ac:dyDescent="0.3">
      <c r="A961" s="2" t="str">
        <f>HYPERLINK("https://www.cadth.ca/node/122972", "")</f>
        <v/>
      </c>
      <c r="F961" s="3"/>
      <c r="G961" s="3"/>
      <c r="I961" t="s">
        <v>33</v>
      </c>
      <c r="N961" s="3"/>
      <c r="Q961" s="3"/>
      <c r="R961" s="3"/>
      <c r="S961" s="3"/>
      <c r="V961" s="3"/>
      <c r="W961" s="3"/>
      <c r="X961" s="3"/>
      <c r="Y961" s="3"/>
      <c r="Z961" s="3"/>
      <c r="AA961" s="3"/>
      <c r="AB961" s="3"/>
    </row>
    <row r="962" spans="1:28" x14ac:dyDescent="0.3">
      <c r="A962" s="2" t="str">
        <f>HYPERLINK("https://www.cadth.ca/node/124012", "")</f>
        <v/>
      </c>
      <c r="C962" t="s">
        <v>2864</v>
      </c>
      <c r="E962" t="s">
        <v>40</v>
      </c>
      <c r="F962" s="3"/>
      <c r="G962" s="3"/>
      <c r="H962" t="s">
        <v>2867</v>
      </c>
      <c r="I962" t="s">
        <v>33</v>
      </c>
      <c r="N962" s="3"/>
      <c r="Q962" s="3"/>
      <c r="R962" s="3"/>
      <c r="S962" s="3"/>
      <c r="V962" s="3"/>
      <c r="W962" s="3"/>
      <c r="X962" s="3"/>
      <c r="Y962" s="3"/>
      <c r="Z962" s="3"/>
      <c r="AA962" s="3"/>
      <c r="AB962" s="3"/>
    </row>
    <row r="963" spans="1:28" x14ac:dyDescent="0.3">
      <c r="A963" s="2" t="str">
        <f>HYPERLINK("https://www.cadth.ca/node/113622", "")</f>
        <v/>
      </c>
      <c r="F963" s="3"/>
      <c r="G963" s="3"/>
      <c r="I963" t="s">
        <v>33</v>
      </c>
      <c r="N963" s="3"/>
      <c r="Q963" s="3"/>
      <c r="R963" s="3"/>
      <c r="S963" s="3"/>
      <c r="V963" s="3"/>
      <c r="W963" s="3"/>
      <c r="X963" s="3"/>
      <c r="Y963" s="3"/>
      <c r="Z963" s="3"/>
      <c r="AA963" s="3"/>
      <c r="AB963" s="3"/>
    </row>
    <row r="964" spans="1:28" x14ac:dyDescent="0.3">
      <c r="A964" s="2" t="str">
        <f>HYPERLINK("https://www.cadth.ca/node/114115", "")</f>
        <v/>
      </c>
      <c r="F964" s="3"/>
      <c r="G964" s="3"/>
      <c r="I964" t="s">
        <v>33</v>
      </c>
      <c r="N964" s="3"/>
      <c r="Q964" s="3"/>
      <c r="R964" s="3"/>
      <c r="S964" s="3"/>
      <c r="V964" s="3"/>
      <c r="W964" s="3"/>
      <c r="X964" s="3"/>
      <c r="Y964" s="3"/>
      <c r="Z964" s="3"/>
      <c r="AA964" s="3"/>
      <c r="AB964" s="3"/>
    </row>
    <row r="965" spans="1:28" x14ac:dyDescent="0.3">
      <c r="A965" s="2"/>
      <c r="F965" s="3"/>
      <c r="G965" s="3"/>
      <c r="N965" s="3"/>
      <c r="Q965" s="3"/>
      <c r="R965" s="3"/>
      <c r="S965" s="3"/>
      <c r="V965" s="3"/>
      <c r="W965" s="3"/>
      <c r="X965" s="3"/>
      <c r="Y965" s="3"/>
      <c r="Z965" s="3"/>
      <c r="AA965" s="3"/>
      <c r="AB965" s="3"/>
    </row>
    <row r="966" spans="1:28" x14ac:dyDescent="0.3">
      <c r="A966" s="2"/>
      <c r="F966" s="3"/>
      <c r="G966" s="3"/>
      <c r="N966" s="3"/>
      <c r="Q966" s="3"/>
      <c r="R966" s="3"/>
      <c r="S966" s="3"/>
      <c r="V966" s="3"/>
      <c r="W966" s="3"/>
      <c r="X966" s="3"/>
      <c r="Y966" s="3"/>
      <c r="Z966" s="3"/>
      <c r="AA966" s="3"/>
      <c r="AB966" s="3"/>
    </row>
    <row r="967" spans="1:28" x14ac:dyDescent="0.3">
      <c r="A967" s="2"/>
      <c r="F967" s="3"/>
      <c r="G967" s="3"/>
      <c r="N967" s="3"/>
      <c r="Q967" s="3"/>
      <c r="R967" s="3"/>
      <c r="S967" s="3"/>
      <c r="V967" s="3"/>
      <c r="W967" s="3"/>
      <c r="X967" s="3"/>
      <c r="Y967" s="3"/>
      <c r="Z967" s="3"/>
      <c r="AA967" s="3"/>
      <c r="AB967" s="3"/>
    </row>
    <row r="968" spans="1:28" x14ac:dyDescent="0.3">
      <c r="A968" s="2"/>
      <c r="F968" s="3"/>
      <c r="G968" s="3"/>
      <c r="N968" s="3"/>
      <c r="Q968" s="3"/>
      <c r="R968" s="3"/>
      <c r="S968" s="3"/>
      <c r="V968" s="3"/>
      <c r="W968" s="3"/>
      <c r="X968" s="3"/>
      <c r="Y968" s="3"/>
      <c r="Z968" s="3"/>
      <c r="AA968" s="3"/>
      <c r="AB968" s="3"/>
    </row>
    <row r="969" spans="1:28" x14ac:dyDescent="0.3">
      <c r="A969" s="2"/>
      <c r="F969" s="3"/>
      <c r="G969" s="3"/>
      <c r="N969" s="3"/>
      <c r="Q969" s="3"/>
      <c r="R969" s="3"/>
      <c r="S969" s="3"/>
      <c r="V969" s="3"/>
      <c r="W969" s="3"/>
      <c r="X969" s="3"/>
      <c r="Y969" s="3"/>
      <c r="Z969" s="3"/>
      <c r="AA969" s="3"/>
      <c r="AB969" s="3"/>
    </row>
    <row r="970" spans="1:28" x14ac:dyDescent="0.3">
      <c r="A970" s="2"/>
      <c r="F970" s="3"/>
      <c r="G970" s="3"/>
      <c r="N970" s="3"/>
      <c r="Q970" s="3"/>
      <c r="R970" s="3"/>
      <c r="S970" s="3"/>
      <c r="V970" s="3"/>
      <c r="W970" s="3"/>
      <c r="X970" s="3"/>
      <c r="Y970" s="3"/>
      <c r="Z970" s="3"/>
      <c r="AA970" s="3"/>
      <c r="AB970" s="3"/>
    </row>
    <row r="971" spans="1:28" x14ac:dyDescent="0.3">
      <c r="A971" s="2"/>
      <c r="F971" s="3"/>
      <c r="G971" s="3"/>
      <c r="N971" s="3"/>
      <c r="Q971" s="3"/>
      <c r="R971" s="3"/>
      <c r="S971" s="3"/>
      <c r="V971" s="3"/>
      <c r="W971" s="3"/>
      <c r="X971" s="3"/>
      <c r="Y971" s="3"/>
      <c r="Z971" s="3"/>
      <c r="AA971" s="3"/>
      <c r="AB971" s="3"/>
    </row>
    <row r="972" spans="1:28" x14ac:dyDescent="0.3">
      <c r="A972" s="2"/>
      <c r="F972" s="3"/>
      <c r="G972" s="3"/>
      <c r="N972" s="3"/>
      <c r="Q972" s="3"/>
      <c r="R972" s="3"/>
      <c r="S972" s="3"/>
      <c r="V972" s="3"/>
      <c r="W972" s="3"/>
      <c r="X972" s="3"/>
      <c r="Y972" s="3"/>
      <c r="Z972" s="3"/>
      <c r="AA972" s="3"/>
      <c r="AB972" s="3"/>
    </row>
    <row r="973" spans="1:28" x14ac:dyDescent="0.3">
      <c r="A973" s="2"/>
      <c r="F973" s="3"/>
      <c r="G973" s="3"/>
      <c r="N973" s="3"/>
      <c r="Q973" s="3"/>
      <c r="R973" s="3"/>
      <c r="S973" s="3"/>
      <c r="V973" s="3"/>
      <c r="W973" s="3"/>
      <c r="X973" s="3"/>
      <c r="Y973" s="3"/>
      <c r="Z973" s="3"/>
      <c r="AA973" s="3"/>
      <c r="AB973" s="3"/>
    </row>
    <row r="974" spans="1:28" x14ac:dyDescent="0.3">
      <c r="A974" s="2"/>
      <c r="F974" s="3"/>
      <c r="G974" s="3"/>
      <c r="N974" s="3"/>
      <c r="Q974" s="3"/>
      <c r="R974" s="3"/>
      <c r="S974" s="3"/>
      <c r="V974" s="3"/>
      <c r="W974" s="3"/>
      <c r="X974" s="3"/>
      <c r="Y974" s="3"/>
      <c r="Z974" s="3"/>
      <c r="AA974" s="3"/>
      <c r="AB974" s="3"/>
    </row>
    <row r="975" spans="1:28" x14ac:dyDescent="0.3">
      <c r="A975" s="2"/>
      <c r="F975" s="3"/>
      <c r="G975" s="3"/>
      <c r="N975" s="3"/>
      <c r="Q975" s="3"/>
      <c r="R975" s="3"/>
      <c r="S975" s="3"/>
      <c r="V975" s="3"/>
      <c r="W975" s="3"/>
      <c r="X975" s="3"/>
      <c r="Y975" s="3"/>
      <c r="Z975" s="3"/>
      <c r="AA975" s="3"/>
      <c r="AB975" s="3"/>
    </row>
    <row r="976" spans="1:28" x14ac:dyDescent="0.3">
      <c r="A976" s="2"/>
      <c r="F976" s="3"/>
      <c r="G976" s="3"/>
      <c r="N976" s="3"/>
      <c r="Q976" s="3"/>
      <c r="R976" s="3"/>
      <c r="S976" s="3"/>
      <c r="V976" s="3"/>
      <c r="W976" s="3"/>
      <c r="X976" s="3"/>
      <c r="Y976" s="3"/>
      <c r="Z976" s="3"/>
      <c r="AA976" s="3"/>
      <c r="AB976" s="3"/>
    </row>
    <row r="977" spans="1:28" x14ac:dyDescent="0.3">
      <c r="A977" s="2"/>
      <c r="F977" s="3"/>
      <c r="G977" s="3"/>
      <c r="N977" s="3"/>
      <c r="Q977" s="3"/>
      <c r="R977" s="3"/>
      <c r="S977" s="3"/>
      <c r="V977" s="3"/>
      <c r="W977" s="3"/>
      <c r="X977" s="3"/>
      <c r="Y977" s="3"/>
      <c r="Z977" s="3"/>
      <c r="AA977" s="3"/>
      <c r="AB977" s="3"/>
    </row>
    <row r="978" spans="1:28" x14ac:dyDescent="0.3">
      <c r="A978" s="2"/>
      <c r="F978" s="3"/>
      <c r="G978" s="3"/>
      <c r="N978" s="3"/>
      <c r="Q978" s="3"/>
      <c r="R978" s="3"/>
      <c r="S978" s="3"/>
      <c r="V978" s="3"/>
      <c r="W978" s="3"/>
      <c r="X978" s="3"/>
      <c r="Y978" s="3"/>
      <c r="Z978" s="3"/>
      <c r="AA978" s="3"/>
      <c r="AB978" s="3"/>
    </row>
    <row r="979" spans="1:28" x14ac:dyDescent="0.3">
      <c r="A979" s="2"/>
      <c r="F979" s="3"/>
      <c r="G979" s="3"/>
      <c r="N979" s="3"/>
      <c r="Q979" s="3"/>
      <c r="R979" s="3"/>
      <c r="S979" s="3"/>
      <c r="V979" s="3"/>
      <c r="W979" s="3"/>
      <c r="X979" s="3"/>
      <c r="Y979" s="3"/>
      <c r="Z979" s="3"/>
      <c r="AA979" s="3"/>
      <c r="AB979" s="3"/>
    </row>
    <row r="980" spans="1:28" x14ac:dyDescent="0.3">
      <c r="A980" s="2"/>
      <c r="F980" s="3"/>
      <c r="G980" s="3"/>
      <c r="N980" s="3"/>
      <c r="Q980" s="3"/>
      <c r="R980" s="3"/>
      <c r="S980" s="3"/>
      <c r="V980" s="3"/>
      <c r="W980" s="3"/>
      <c r="X980" s="3"/>
      <c r="Y980" s="3"/>
      <c r="Z980" s="3"/>
      <c r="AA980" s="3"/>
      <c r="AB980" s="3"/>
    </row>
    <row r="981" spans="1:28" x14ac:dyDescent="0.3">
      <c r="A981" s="2"/>
      <c r="F981" s="3"/>
      <c r="G981" s="3"/>
      <c r="N981" s="3"/>
      <c r="Q981" s="3"/>
      <c r="R981" s="3"/>
      <c r="S981" s="3"/>
      <c r="V981" s="3"/>
      <c r="W981" s="3"/>
      <c r="X981" s="3"/>
      <c r="Y981" s="3"/>
      <c r="Z981" s="3"/>
      <c r="AA981" s="3"/>
      <c r="AB981" s="3"/>
    </row>
    <row r="982" spans="1:28" x14ac:dyDescent="0.3">
      <c r="A982" s="2"/>
      <c r="F982" s="3"/>
      <c r="G982" s="3"/>
      <c r="N982" s="3"/>
      <c r="Q982" s="3"/>
      <c r="R982" s="3"/>
      <c r="S982" s="3"/>
      <c r="V982" s="3"/>
      <c r="W982" s="3"/>
      <c r="X982" s="3"/>
      <c r="Y982" s="3"/>
      <c r="Z982" s="3"/>
      <c r="AA982" s="3"/>
      <c r="AB982" s="3"/>
    </row>
    <row r="983" spans="1:28" x14ac:dyDescent="0.3">
      <c r="A983" s="2"/>
      <c r="F983" s="3"/>
      <c r="G983" s="3"/>
      <c r="N983" s="3"/>
      <c r="Q983" s="3"/>
      <c r="R983" s="3"/>
      <c r="S983" s="3"/>
      <c r="V983" s="3"/>
      <c r="W983" s="3"/>
      <c r="X983" s="3"/>
      <c r="Y983" s="3"/>
      <c r="Z983" s="3"/>
      <c r="AA983" s="3"/>
      <c r="AB983" s="3"/>
    </row>
    <row r="984" spans="1:28" x14ac:dyDescent="0.3">
      <c r="A984" s="2"/>
      <c r="F984" s="3"/>
      <c r="G984" s="3"/>
      <c r="N984" s="3"/>
      <c r="Q984" s="3"/>
      <c r="R984" s="3"/>
      <c r="S984" s="3"/>
      <c r="V984" s="3"/>
      <c r="W984" s="3"/>
      <c r="X984" s="3"/>
      <c r="Y984" s="3"/>
      <c r="Z984" s="3"/>
      <c r="AA984" s="3"/>
      <c r="AB984" s="3"/>
    </row>
    <row r="985" spans="1:28" x14ac:dyDescent="0.3">
      <c r="A985" s="2"/>
      <c r="F985" s="3"/>
      <c r="G985" s="3"/>
      <c r="N985" s="3"/>
      <c r="Q985" s="3"/>
      <c r="R985" s="3"/>
      <c r="S985" s="3"/>
      <c r="V985" s="3"/>
      <c r="W985" s="3"/>
      <c r="X985" s="3"/>
      <c r="Y985" s="3"/>
      <c r="Z985" s="3"/>
      <c r="AA985" s="3"/>
      <c r="AB985" s="3"/>
    </row>
    <row r="986" spans="1:28" x14ac:dyDescent="0.3">
      <c r="A986" s="2"/>
      <c r="F986" s="3"/>
      <c r="G986" s="3"/>
      <c r="N986" s="3"/>
      <c r="Q986" s="3"/>
      <c r="R986" s="3"/>
      <c r="S986" s="3"/>
      <c r="V986" s="3"/>
      <c r="W986" s="3"/>
      <c r="X986" s="3"/>
      <c r="Y986" s="3"/>
      <c r="Z986" s="3"/>
      <c r="AA986" s="3"/>
      <c r="AB986" s="3"/>
    </row>
    <row r="987" spans="1:28" x14ac:dyDescent="0.3">
      <c r="A987" s="2"/>
      <c r="F987" s="3"/>
      <c r="G987" s="3"/>
      <c r="N987" s="3"/>
      <c r="Q987" s="3"/>
      <c r="R987" s="3"/>
      <c r="S987" s="3"/>
      <c r="V987" s="3"/>
      <c r="W987" s="3"/>
      <c r="X987" s="3"/>
      <c r="Y987" s="3"/>
      <c r="Z987" s="3"/>
      <c r="AA987" s="3"/>
      <c r="AB987" s="3"/>
    </row>
    <row r="988" spans="1:28" x14ac:dyDescent="0.3">
      <c r="A988" s="2"/>
      <c r="F988" s="3"/>
      <c r="G988" s="3"/>
      <c r="N988" s="3"/>
      <c r="Q988" s="3"/>
      <c r="R988" s="3"/>
      <c r="S988" s="3"/>
      <c r="V988" s="3"/>
      <c r="W988" s="3"/>
      <c r="X988" s="3"/>
      <c r="Y988" s="3"/>
      <c r="Z988" s="3"/>
      <c r="AA988" s="3"/>
      <c r="AB988" s="3"/>
    </row>
    <row r="989" spans="1:28" x14ac:dyDescent="0.3">
      <c r="A989" s="2"/>
      <c r="F989" s="3"/>
      <c r="G989" s="3"/>
      <c r="N989" s="3"/>
      <c r="Q989" s="3"/>
      <c r="R989" s="3"/>
      <c r="S989" s="3"/>
      <c r="V989" s="3"/>
      <c r="W989" s="3"/>
      <c r="X989" s="3"/>
      <c r="Y989" s="3"/>
      <c r="Z989" s="3"/>
      <c r="AA989" s="3"/>
      <c r="AB989" s="3"/>
    </row>
    <row r="990" spans="1:28" x14ac:dyDescent="0.3">
      <c r="A990" s="2"/>
      <c r="F990" s="3"/>
      <c r="G990" s="3"/>
      <c r="N990" s="3"/>
      <c r="Q990" s="3"/>
      <c r="R990" s="3"/>
      <c r="S990" s="3"/>
      <c r="V990" s="3"/>
      <c r="W990" s="3"/>
      <c r="X990" s="3"/>
      <c r="Y990" s="3"/>
      <c r="Z990" s="3"/>
      <c r="AA990" s="3"/>
      <c r="AB990" s="3"/>
    </row>
    <row r="991" spans="1:28" x14ac:dyDescent="0.3">
      <c r="A991" s="2"/>
      <c r="F991" s="3"/>
      <c r="G991" s="3"/>
      <c r="N991" s="3"/>
      <c r="Q991" s="3"/>
      <c r="R991" s="3"/>
      <c r="S991" s="3"/>
      <c r="V991" s="3"/>
      <c r="W991" s="3"/>
      <c r="X991" s="3"/>
      <c r="Y991" s="3"/>
      <c r="Z991" s="3"/>
      <c r="AA991" s="3"/>
      <c r="AB991" s="3"/>
    </row>
    <row r="992" spans="1:28" x14ac:dyDescent="0.3">
      <c r="A992" s="2"/>
      <c r="F992" s="3"/>
      <c r="G992" s="3"/>
      <c r="N992" s="3"/>
      <c r="Q992" s="3"/>
      <c r="R992" s="3"/>
      <c r="S992" s="3"/>
      <c r="V992" s="3"/>
      <c r="W992" s="3"/>
      <c r="X992" s="3"/>
      <c r="Y992" s="3"/>
      <c r="Z992" s="3"/>
      <c r="AA992" s="3"/>
      <c r="AB992" s="3"/>
    </row>
    <row r="993" spans="1:28" x14ac:dyDescent="0.3">
      <c r="A993" s="2"/>
      <c r="F993" s="3"/>
      <c r="G993" s="3"/>
      <c r="N993" s="3"/>
      <c r="Q993" s="3"/>
      <c r="R993" s="3"/>
      <c r="S993" s="3"/>
      <c r="V993" s="3"/>
      <c r="W993" s="3"/>
      <c r="X993" s="3"/>
      <c r="Y993" s="3"/>
      <c r="Z993" s="3"/>
      <c r="AA993" s="3"/>
      <c r="AB993" s="3"/>
    </row>
    <row r="994" spans="1:28" x14ac:dyDescent="0.3">
      <c r="A994" s="2"/>
      <c r="F994" s="3"/>
      <c r="G994" s="3"/>
      <c r="N994" s="3"/>
      <c r="Q994" s="3"/>
      <c r="R994" s="3"/>
      <c r="S994" s="3"/>
      <c r="V994" s="3"/>
      <c r="W994" s="3"/>
      <c r="X994" s="3"/>
      <c r="Y994" s="3"/>
      <c r="Z994" s="3"/>
      <c r="AA994" s="3"/>
      <c r="AB994" s="3"/>
    </row>
    <row r="995" spans="1:28" x14ac:dyDescent="0.3">
      <c r="A995" s="2"/>
      <c r="F995" s="3"/>
      <c r="G995" s="3"/>
      <c r="N995" s="3"/>
      <c r="Q995" s="3"/>
      <c r="R995" s="3"/>
      <c r="S995" s="3"/>
      <c r="V995" s="3"/>
      <c r="W995" s="3"/>
      <c r="X995" s="3"/>
      <c r="Y995" s="3"/>
      <c r="Z995" s="3"/>
      <c r="AA995" s="3"/>
      <c r="AB995" s="3"/>
    </row>
    <row r="996" spans="1:28" x14ac:dyDescent="0.3">
      <c r="A996" s="2"/>
      <c r="F996" s="3"/>
      <c r="G996" s="3"/>
      <c r="N996" s="3"/>
      <c r="Q996" s="3"/>
      <c r="R996" s="3"/>
      <c r="S996" s="3"/>
      <c r="V996" s="3"/>
      <c r="W996" s="3"/>
      <c r="X996" s="3"/>
      <c r="Y996" s="3"/>
      <c r="Z996" s="3"/>
      <c r="AA996" s="3"/>
      <c r="AB996" s="3"/>
    </row>
    <row r="997" spans="1:28" x14ac:dyDescent="0.3">
      <c r="A997" s="2"/>
      <c r="F997" s="3"/>
      <c r="G997" s="3"/>
      <c r="N997" s="3"/>
      <c r="Q997" s="3"/>
      <c r="R997" s="3"/>
      <c r="S997" s="3"/>
      <c r="V997" s="3"/>
      <c r="W997" s="3"/>
      <c r="X997" s="3"/>
      <c r="Y997" s="3"/>
      <c r="Z997" s="3"/>
      <c r="AA997" s="3"/>
      <c r="AB997" s="3"/>
    </row>
    <row r="998" spans="1:28" x14ac:dyDescent="0.3">
      <c r="A998" s="2"/>
      <c r="F998" s="3"/>
      <c r="G998" s="3"/>
      <c r="N998" s="3"/>
      <c r="Q998" s="3"/>
      <c r="R998" s="3"/>
      <c r="S998" s="3"/>
      <c r="V998" s="3"/>
      <c r="W998" s="3"/>
      <c r="X998" s="3"/>
      <c r="Y998" s="3"/>
      <c r="Z998" s="3"/>
      <c r="AA998" s="3"/>
      <c r="AB998" s="3"/>
    </row>
    <row r="999" spans="1:28" x14ac:dyDescent="0.3">
      <c r="A999" s="2"/>
      <c r="F999" s="3"/>
      <c r="G999" s="3"/>
      <c r="N999" s="3"/>
      <c r="Q999" s="3"/>
      <c r="R999" s="3"/>
      <c r="S999" s="3"/>
      <c r="V999" s="3"/>
      <c r="W999" s="3"/>
      <c r="X999" s="3"/>
      <c r="Y999" s="3"/>
      <c r="Z999" s="3"/>
      <c r="AA999" s="3"/>
      <c r="AB999" s="3"/>
    </row>
    <row r="1000" spans="1:28" x14ac:dyDescent="0.3">
      <c r="A1000" s="2"/>
      <c r="F1000" s="3"/>
      <c r="G1000" s="3"/>
      <c r="N1000" s="3"/>
      <c r="Q1000" s="3"/>
      <c r="R1000" s="3"/>
      <c r="S1000" s="3"/>
      <c r="V1000" s="3"/>
      <c r="W1000" s="3"/>
      <c r="X1000" s="3"/>
      <c r="Y1000" s="3"/>
      <c r="Z1000" s="3"/>
      <c r="AA1000" s="3"/>
      <c r="AB1000" s="3"/>
    </row>
    <row r="1001" spans="1:28" x14ac:dyDescent="0.3">
      <c r="A1001" s="2"/>
      <c r="F1001" s="3"/>
      <c r="G1001" s="3"/>
      <c r="N1001" s="3"/>
      <c r="Q1001" s="3"/>
      <c r="R1001" s="3"/>
      <c r="S1001" s="3"/>
      <c r="V1001" s="3"/>
      <c r="W1001" s="3"/>
      <c r="X1001" s="3"/>
      <c r="Y1001" s="3"/>
      <c r="Z1001" s="3"/>
      <c r="AA1001" s="3"/>
      <c r="AB1001" s="3"/>
    </row>
    <row r="1002" spans="1:28" x14ac:dyDescent="0.3">
      <c r="A1002" s="2"/>
      <c r="F1002" s="3"/>
      <c r="G1002" s="3"/>
      <c r="N1002" s="3"/>
      <c r="Q1002" s="3"/>
      <c r="R1002" s="3"/>
      <c r="S1002" s="3"/>
      <c r="V1002" s="3"/>
      <c r="W1002" s="3"/>
      <c r="X1002" s="3"/>
      <c r="Y1002" s="3"/>
      <c r="Z1002" s="3"/>
      <c r="AA1002" s="3"/>
      <c r="AB1002" s="3"/>
    </row>
    <row r="1003" spans="1:28" x14ac:dyDescent="0.3">
      <c r="A1003" s="2"/>
      <c r="F1003" s="3"/>
      <c r="G1003" s="3"/>
      <c r="N1003" s="3"/>
      <c r="Q1003" s="3"/>
      <c r="R1003" s="3"/>
      <c r="S1003" s="3"/>
      <c r="V1003" s="3"/>
      <c r="W1003" s="3"/>
      <c r="X1003" s="3"/>
      <c r="Y1003" s="3"/>
      <c r="Z1003" s="3"/>
      <c r="AA1003" s="3"/>
      <c r="AB1003" s="3"/>
    </row>
    <row r="1004" spans="1:28" x14ac:dyDescent="0.3">
      <c r="A1004" s="2"/>
      <c r="F1004" s="3"/>
      <c r="G1004" s="3"/>
      <c r="N1004" s="3"/>
      <c r="Q1004" s="3"/>
      <c r="R1004" s="3"/>
      <c r="S1004" s="3"/>
      <c r="V1004" s="3"/>
      <c r="W1004" s="3"/>
      <c r="X1004" s="3"/>
      <c r="Y1004" s="3"/>
      <c r="Z1004" s="3"/>
      <c r="AA1004" s="3"/>
      <c r="AB1004" s="3"/>
    </row>
    <row r="1005" spans="1:28" x14ac:dyDescent="0.3">
      <c r="A1005" s="2"/>
      <c r="F1005" s="3"/>
      <c r="G1005" s="3"/>
      <c r="N1005" s="3"/>
      <c r="Q1005" s="3"/>
      <c r="R1005" s="3"/>
      <c r="S1005" s="3"/>
      <c r="V1005" s="3"/>
      <c r="W1005" s="3"/>
      <c r="X1005" s="3"/>
      <c r="Y1005" s="3"/>
      <c r="Z1005" s="3"/>
      <c r="AA1005" s="3"/>
      <c r="AB1005" s="3"/>
    </row>
    <row r="1006" spans="1:28" x14ac:dyDescent="0.3">
      <c r="A1006" s="2"/>
      <c r="F1006" s="3"/>
      <c r="G1006" s="3"/>
      <c r="N1006" s="3"/>
      <c r="Q1006" s="3"/>
      <c r="R1006" s="3"/>
      <c r="S1006" s="3"/>
      <c r="V1006" s="3"/>
      <c r="W1006" s="3"/>
      <c r="X1006" s="3"/>
      <c r="Y1006" s="3"/>
      <c r="Z1006" s="3"/>
      <c r="AA1006" s="3"/>
      <c r="AB1006" s="3"/>
    </row>
    <row r="1007" spans="1:28" x14ac:dyDescent="0.3">
      <c r="A1007" s="2"/>
      <c r="F1007" s="3"/>
      <c r="G1007" s="3"/>
      <c r="N1007" s="3"/>
      <c r="Q1007" s="3"/>
      <c r="R1007" s="3"/>
      <c r="S1007" s="3"/>
      <c r="V1007" s="3"/>
      <c r="W1007" s="3"/>
      <c r="X1007" s="3"/>
      <c r="Y1007" s="3"/>
      <c r="Z1007" s="3"/>
      <c r="AA1007" s="3"/>
      <c r="AB1007" s="3"/>
    </row>
    <row r="1008" spans="1:28" x14ac:dyDescent="0.3">
      <c r="A1008" s="2"/>
      <c r="F1008" s="3"/>
      <c r="G1008" s="3"/>
      <c r="N1008" s="3"/>
      <c r="Q1008" s="3"/>
      <c r="R1008" s="3"/>
      <c r="S1008" s="3"/>
      <c r="V1008" s="3"/>
      <c r="W1008" s="3"/>
      <c r="X1008" s="3"/>
      <c r="Y1008" s="3"/>
      <c r="Z1008" s="3"/>
      <c r="AA1008" s="3"/>
      <c r="AB1008" s="3"/>
    </row>
    <row r="1009" spans="1:28" x14ac:dyDescent="0.3">
      <c r="A1009" s="2"/>
      <c r="F1009" s="3"/>
      <c r="G1009" s="3"/>
      <c r="N1009" s="3"/>
      <c r="Q1009" s="3"/>
      <c r="R1009" s="3"/>
      <c r="S1009" s="3"/>
      <c r="V1009" s="3"/>
      <c r="W1009" s="3"/>
      <c r="X1009" s="3"/>
      <c r="Y1009" s="3"/>
      <c r="Z1009" s="3"/>
      <c r="AA1009" s="3"/>
      <c r="AB1009" s="3"/>
    </row>
    <row r="1010" spans="1:28" x14ac:dyDescent="0.3">
      <c r="A1010" s="2"/>
      <c r="F1010" s="3"/>
      <c r="G1010" s="3"/>
      <c r="N1010" s="3"/>
      <c r="Q1010" s="3"/>
      <c r="R1010" s="3"/>
      <c r="S1010" s="3"/>
      <c r="V1010" s="3"/>
      <c r="W1010" s="3"/>
      <c r="X1010" s="3"/>
      <c r="Y1010" s="3"/>
      <c r="Z1010" s="3"/>
      <c r="AA1010" s="3"/>
      <c r="AB1010" s="3"/>
    </row>
    <row r="1011" spans="1:28" x14ac:dyDescent="0.3">
      <c r="A1011" s="2"/>
      <c r="F1011" s="3"/>
      <c r="G1011" s="3"/>
      <c r="N1011" s="3"/>
      <c r="Q1011" s="3"/>
      <c r="R1011" s="3"/>
      <c r="S1011" s="3"/>
      <c r="V1011" s="3"/>
      <c r="W1011" s="3"/>
      <c r="X1011" s="3"/>
      <c r="Y1011" s="3"/>
      <c r="Z1011" s="3"/>
      <c r="AA1011" s="3"/>
      <c r="AB1011" s="3"/>
    </row>
    <row r="1012" spans="1:28" x14ac:dyDescent="0.3">
      <c r="A1012" s="2"/>
      <c r="F1012" s="3"/>
      <c r="G1012" s="3"/>
      <c r="N1012" s="3"/>
      <c r="Q1012" s="3"/>
      <c r="R1012" s="3"/>
      <c r="S1012" s="3"/>
      <c r="V1012" s="3"/>
      <c r="W1012" s="3"/>
      <c r="X1012" s="3"/>
      <c r="Y1012" s="3"/>
      <c r="Z1012" s="3"/>
      <c r="AA1012" s="3"/>
      <c r="AB1012" s="3"/>
    </row>
    <row r="1013" spans="1:28" x14ac:dyDescent="0.3">
      <c r="A1013" s="2"/>
      <c r="F1013" s="3"/>
      <c r="G1013" s="3"/>
      <c r="N1013" s="3"/>
      <c r="Q1013" s="3"/>
      <c r="R1013" s="3"/>
      <c r="S1013" s="3"/>
      <c r="V1013" s="3"/>
      <c r="W1013" s="3"/>
      <c r="X1013" s="3"/>
      <c r="Y1013" s="3"/>
      <c r="Z1013" s="3"/>
      <c r="AA1013" s="3"/>
      <c r="AB1013" s="3"/>
    </row>
    <row r="1014" spans="1:28" x14ac:dyDescent="0.3">
      <c r="A1014" s="2"/>
      <c r="F1014" s="3"/>
      <c r="G1014" s="3"/>
      <c r="N1014" s="3"/>
      <c r="Q1014" s="3"/>
      <c r="R1014" s="3"/>
      <c r="S1014" s="3"/>
      <c r="V1014" s="3"/>
      <c r="W1014" s="3"/>
      <c r="X1014" s="3"/>
      <c r="Y1014" s="3"/>
      <c r="Z1014" s="3"/>
      <c r="AA1014" s="3"/>
      <c r="AB1014" s="3"/>
    </row>
    <row r="1015" spans="1:28" x14ac:dyDescent="0.3">
      <c r="A1015" s="2"/>
      <c r="F1015" s="3"/>
      <c r="G1015" s="3"/>
      <c r="N1015" s="3"/>
      <c r="Q1015" s="3"/>
      <c r="R1015" s="3"/>
      <c r="S1015" s="3"/>
      <c r="V1015" s="3"/>
      <c r="W1015" s="3"/>
      <c r="X1015" s="3"/>
      <c r="Y1015" s="3"/>
      <c r="Z1015" s="3"/>
      <c r="AA1015" s="3"/>
      <c r="AB1015" s="3"/>
    </row>
    <row r="1016" spans="1:28" x14ac:dyDescent="0.3">
      <c r="A1016" s="2"/>
      <c r="F1016" s="3"/>
      <c r="G1016" s="3"/>
      <c r="N1016" s="3"/>
      <c r="Q1016" s="3"/>
      <c r="R1016" s="3"/>
      <c r="S1016" s="3"/>
      <c r="V1016" s="3"/>
      <c r="W1016" s="3"/>
      <c r="X1016" s="3"/>
      <c r="Y1016" s="3"/>
      <c r="Z1016" s="3"/>
      <c r="AA1016" s="3"/>
      <c r="AB1016" s="3"/>
    </row>
    <row r="1017" spans="1:28" x14ac:dyDescent="0.3">
      <c r="A1017" s="2"/>
      <c r="F1017" s="3"/>
      <c r="G1017" s="3"/>
      <c r="N1017" s="3"/>
      <c r="Q1017" s="3"/>
      <c r="R1017" s="3"/>
      <c r="S1017" s="3"/>
      <c r="V1017" s="3"/>
      <c r="W1017" s="3"/>
      <c r="X1017" s="3"/>
      <c r="Y1017" s="3"/>
      <c r="Z1017" s="3"/>
      <c r="AA1017" s="3"/>
      <c r="AB1017" s="3"/>
    </row>
    <row r="1018" spans="1:28" x14ac:dyDescent="0.3">
      <c r="A1018" s="2"/>
      <c r="F1018" s="3"/>
      <c r="G1018" s="3"/>
      <c r="N1018" s="3"/>
      <c r="Q1018" s="3"/>
      <c r="R1018" s="3"/>
      <c r="S1018" s="3"/>
      <c r="V1018" s="3"/>
      <c r="W1018" s="3"/>
      <c r="X1018" s="3"/>
      <c r="Y1018" s="3"/>
      <c r="Z1018" s="3"/>
      <c r="AA1018" s="3"/>
      <c r="AB1018" s="3"/>
    </row>
    <row r="1019" spans="1:28" x14ac:dyDescent="0.3">
      <c r="A1019" s="2"/>
      <c r="F1019" s="3"/>
      <c r="G1019" s="3"/>
      <c r="N1019" s="3"/>
      <c r="Q1019" s="3"/>
      <c r="R1019" s="3"/>
      <c r="S1019" s="3"/>
      <c r="V1019" s="3"/>
      <c r="W1019" s="3"/>
      <c r="X1019" s="3"/>
      <c r="Y1019" s="3"/>
      <c r="Z1019" s="3"/>
      <c r="AA1019" s="3"/>
      <c r="AB1019" s="3"/>
    </row>
    <row r="1020" spans="1:28" x14ac:dyDescent="0.3">
      <c r="A1020" s="2"/>
      <c r="F1020" s="3"/>
      <c r="G1020" s="3"/>
      <c r="N1020" s="3"/>
      <c r="Q1020" s="3"/>
      <c r="R1020" s="3"/>
      <c r="S1020" s="3"/>
      <c r="V1020" s="3"/>
      <c r="W1020" s="3"/>
      <c r="X1020" s="3"/>
      <c r="Y1020" s="3"/>
      <c r="Z1020" s="3"/>
      <c r="AA1020" s="3"/>
      <c r="AB1020" s="3"/>
    </row>
    <row r="1021" spans="1:28" x14ac:dyDescent="0.3">
      <c r="A1021" s="2"/>
      <c r="F1021" s="3"/>
      <c r="G1021" s="3"/>
      <c r="N1021" s="3"/>
      <c r="Q1021" s="3"/>
      <c r="R1021" s="3"/>
      <c r="S1021" s="3"/>
      <c r="V1021" s="3"/>
      <c r="W1021" s="3"/>
      <c r="X1021" s="3"/>
      <c r="Y1021" s="3"/>
      <c r="Z1021" s="3"/>
      <c r="AA1021" s="3"/>
      <c r="AB1021" s="3"/>
    </row>
    <row r="1022" spans="1:28" x14ac:dyDescent="0.3">
      <c r="A1022" s="2"/>
      <c r="F1022" s="3"/>
      <c r="G1022" s="3"/>
      <c r="N1022" s="3"/>
      <c r="Q1022" s="3"/>
      <c r="R1022" s="3"/>
      <c r="S1022" s="3"/>
      <c r="V1022" s="3"/>
      <c r="W1022" s="3"/>
      <c r="X1022" s="3"/>
      <c r="Y1022" s="3"/>
      <c r="Z1022" s="3"/>
      <c r="AA1022" s="3"/>
      <c r="AB1022" s="3"/>
    </row>
    <row r="1023" spans="1:28" x14ac:dyDescent="0.3">
      <c r="A1023" s="2"/>
      <c r="F1023" s="3"/>
      <c r="G1023" s="3"/>
      <c r="N1023" s="3"/>
      <c r="Q1023" s="3"/>
      <c r="R1023" s="3"/>
      <c r="S1023" s="3"/>
      <c r="V1023" s="3"/>
      <c r="W1023" s="3"/>
      <c r="X1023" s="3"/>
      <c r="Y1023" s="3"/>
      <c r="Z1023" s="3"/>
      <c r="AA1023" s="3"/>
      <c r="AB1023" s="3"/>
    </row>
    <row r="1024" spans="1:28" x14ac:dyDescent="0.3">
      <c r="A1024" s="2"/>
      <c r="F1024" s="3"/>
      <c r="G1024" s="3"/>
      <c r="N1024" s="3"/>
      <c r="Q1024" s="3"/>
      <c r="R1024" s="3"/>
      <c r="S1024" s="3"/>
      <c r="V1024" s="3"/>
      <c r="W1024" s="3"/>
      <c r="X1024" s="3"/>
      <c r="Y1024" s="3"/>
      <c r="Z1024" s="3"/>
      <c r="AA1024" s="3"/>
      <c r="AB1024" s="3"/>
    </row>
    <row r="1025" spans="1:28" x14ac:dyDescent="0.3">
      <c r="A1025" s="2"/>
      <c r="F1025" s="3"/>
      <c r="G1025" s="3"/>
      <c r="N1025" s="3"/>
      <c r="Q1025" s="3"/>
      <c r="R1025" s="3"/>
      <c r="S1025" s="3"/>
      <c r="V1025" s="3"/>
      <c r="W1025" s="3"/>
      <c r="X1025" s="3"/>
      <c r="Y1025" s="3"/>
      <c r="Z1025" s="3"/>
      <c r="AA1025" s="3"/>
      <c r="AB1025" s="3"/>
    </row>
    <row r="1026" spans="1:28" x14ac:dyDescent="0.3">
      <c r="A1026" s="2"/>
      <c r="F1026" s="3"/>
      <c r="G1026" s="3"/>
      <c r="N1026" s="3"/>
      <c r="Q1026" s="3"/>
      <c r="R1026" s="3"/>
      <c r="S1026" s="3"/>
      <c r="V1026" s="3"/>
      <c r="W1026" s="3"/>
      <c r="X1026" s="3"/>
      <c r="Y1026" s="3"/>
      <c r="Z1026" s="3"/>
      <c r="AA1026" s="3"/>
      <c r="AB1026" s="3"/>
    </row>
    <row r="1027" spans="1:28" x14ac:dyDescent="0.3">
      <c r="A1027" s="2"/>
      <c r="F1027" s="3"/>
      <c r="G1027" s="3"/>
      <c r="N1027" s="3"/>
      <c r="Q1027" s="3"/>
      <c r="R1027" s="3"/>
      <c r="S1027" s="3"/>
      <c r="V1027" s="3"/>
      <c r="W1027" s="3"/>
      <c r="X1027" s="3"/>
      <c r="Y1027" s="3"/>
      <c r="Z1027" s="3"/>
      <c r="AA1027" s="3"/>
      <c r="AB1027" s="3"/>
    </row>
    <row r="1028" spans="1:28" x14ac:dyDescent="0.3">
      <c r="A1028" s="2"/>
      <c r="F1028" s="3"/>
      <c r="G1028" s="3"/>
      <c r="N1028" s="3"/>
      <c r="Q1028" s="3"/>
      <c r="R1028" s="3"/>
      <c r="S1028" s="3"/>
      <c r="V1028" s="3"/>
      <c r="W1028" s="3"/>
      <c r="X1028" s="3"/>
      <c r="Y1028" s="3"/>
      <c r="Z1028" s="3"/>
      <c r="AA1028" s="3"/>
      <c r="AB1028" s="3"/>
    </row>
    <row r="1029" spans="1:28" x14ac:dyDescent="0.3">
      <c r="A1029" s="2"/>
      <c r="F1029" s="3"/>
      <c r="G1029" s="3"/>
      <c r="N1029" s="3"/>
      <c r="Q1029" s="3"/>
      <c r="R1029" s="3"/>
      <c r="S1029" s="3"/>
      <c r="V1029" s="3"/>
      <c r="W1029" s="3"/>
      <c r="X1029" s="3"/>
      <c r="Y1029" s="3"/>
      <c r="Z1029" s="3"/>
      <c r="AA1029" s="3"/>
      <c r="AB1029" s="3"/>
    </row>
    <row r="1030" spans="1:28" x14ac:dyDescent="0.3">
      <c r="A1030" s="2"/>
      <c r="F1030" s="3"/>
      <c r="G1030" s="3"/>
      <c r="N1030" s="3"/>
      <c r="Q1030" s="3"/>
      <c r="R1030" s="3"/>
      <c r="S1030" s="3"/>
      <c r="V1030" s="3"/>
      <c r="W1030" s="3"/>
      <c r="X1030" s="3"/>
      <c r="Y1030" s="3"/>
      <c r="Z1030" s="3"/>
      <c r="AA1030" s="3"/>
      <c r="AB1030" s="3"/>
    </row>
    <row r="1031" spans="1:28" x14ac:dyDescent="0.3">
      <c r="A1031" s="2"/>
      <c r="F1031" s="3"/>
      <c r="G1031" s="3"/>
      <c r="N1031" s="3"/>
      <c r="Q1031" s="3"/>
      <c r="R1031" s="3"/>
      <c r="S1031" s="3"/>
      <c r="V1031" s="3"/>
      <c r="W1031" s="3"/>
      <c r="X1031" s="3"/>
      <c r="Y1031" s="3"/>
      <c r="Z1031" s="3"/>
      <c r="AA1031" s="3"/>
      <c r="AB1031" s="3"/>
    </row>
    <row r="1032" spans="1:28" x14ac:dyDescent="0.3">
      <c r="A1032" s="2"/>
      <c r="F1032" s="3"/>
      <c r="G1032" s="3"/>
      <c r="N1032" s="3"/>
      <c r="Q1032" s="3"/>
      <c r="R1032" s="3"/>
      <c r="S1032" s="3"/>
      <c r="V1032" s="3"/>
      <c r="W1032" s="3"/>
      <c r="X1032" s="3"/>
      <c r="Y1032" s="3"/>
      <c r="Z1032" s="3"/>
      <c r="AA1032" s="3"/>
      <c r="AB1032" s="3"/>
    </row>
    <row r="1033" spans="1:28" x14ac:dyDescent="0.3">
      <c r="A1033" s="2"/>
      <c r="F1033" s="3"/>
      <c r="G1033" s="3"/>
      <c r="N1033" s="3"/>
      <c r="Q1033" s="3"/>
      <c r="R1033" s="3"/>
      <c r="S1033" s="3"/>
      <c r="V1033" s="3"/>
      <c r="W1033" s="3"/>
      <c r="X1033" s="3"/>
      <c r="Y1033" s="3"/>
      <c r="Z1033" s="3"/>
      <c r="AA1033" s="3"/>
      <c r="AB1033" s="3"/>
    </row>
    <row r="1034" spans="1:28" x14ac:dyDescent="0.3">
      <c r="A1034" s="2"/>
      <c r="F1034" s="3"/>
      <c r="G1034" s="3"/>
      <c r="N1034" s="3"/>
      <c r="Q1034" s="3"/>
      <c r="R1034" s="3"/>
      <c r="S1034" s="3"/>
      <c r="V1034" s="3"/>
      <c r="W1034" s="3"/>
      <c r="X1034" s="3"/>
      <c r="Y1034" s="3"/>
      <c r="Z1034" s="3"/>
      <c r="AA1034" s="3"/>
      <c r="AB1034" s="3"/>
    </row>
    <row r="1035" spans="1:28" x14ac:dyDescent="0.3">
      <c r="A1035" s="2"/>
      <c r="F1035" s="3"/>
      <c r="G1035" s="3"/>
      <c r="N1035" s="3"/>
      <c r="Q1035" s="3"/>
      <c r="R1035" s="3"/>
      <c r="S1035" s="3"/>
      <c r="V1035" s="3"/>
      <c r="W1035" s="3"/>
      <c r="X1035" s="3"/>
      <c r="Y1035" s="3"/>
      <c r="Z1035" s="3"/>
      <c r="AA1035" s="3"/>
      <c r="AB1035" s="3"/>
    </row>
    <row r="1036" spans="1:28" x14ac:dyDescent="0.3">
      <c r="A1036" s="2"/>
      <c r="F1036" s="3"/>
      <c r="G1036" s="3"/>
      <c r="N1036" s="3"/>
      <c r="Q1036" s="3"/>
      <c r="R1036" s="3"/>
      <c r="S1036" s="3"/>
      <c r="V1036" s="3"/>
      <c r="W1036" s="3"/>
      <c r="X1036" s="3"/>
      <c r="Y1036" s="3"/>
      <c r="Z1036" s="3"/>
      <c r="AA1036" s="3"/>
      <c r="AB1036" s="3"/>
    </row>
    <row r="1037" spans="1:28" x14ac:dyDescent="0.3">
      <c r="A1037" s="2"/>
      <c r="F1037" s="3"/>
      <c r="G1037" s="3"/>
      <c r="N1037" s="3"/>
      <c r="Q1037" s="3"/>
      <c r="R1037" s="3"/>
      <c r="S1037" s="3"/>
      <c r="V1037" s="3"/>
      <c r="W1037" s="3"/>
      <c r="X1037" s="3"/>
      <c r="Y1037" s="3"/>
      <c r="Z1037" s="3"/>
      <c r="AA1037" s="3"/>
      <c r="AB1037" s="3"/>
    </row>
    <row r="1038" spans="1:28" x14ac:dyDescent="0.3">
      <c r="A1038" s="2"/>
      <c r="F1038" s="3"/>
      <c r="G1038" s="3"/>
      <c r="N1038" s="3"/>
      <c r="Q1038" s="3"/>
      <c r="R1038" s="3"/>
      <c r="S1038" s="3"/>
      <c r="V1038" s="3"/>
      <c r="W1038" s="3"/>
      <c r="X1038" s="3"/>
      <c r="Y1038" s="3"/>
      <c r="Z1038" s="3"/>
      <c r="AA1038" s="3"/>
      <c r="AB1038" s="3"/>
    </row>
    <row r="1039" spans="1:28" x14ac:dyDescent="0.3">
      <c r="A1039" s="2"/>
      <c r="F1039" s="3"/>
      <c r="G1039" s="3"/>
      <c r="N1039" s="3"/>
      <c r="Q1039" s="3"/>
      <c r="R1039" s="3"/>
      <c r="S1039" s="3"/>
      <c r="V1039" s="3"/>
      <c r="W1039" s="3"/>
      <c r="X1039" s="3"/>
      <c r="Y1039" s="3"/>
      <c r="Z1039" s="3"/>
      <c r="AA1039" s="3"/>
      <c r="AB1039" s="3"/>
    </row>
    <row r="1040" spans="1:28" x14ac:dyDescent="0.3">
      <c r="A1040" s="2"/>
      <c r="F1040" s="3"/>
      <c r="G1040" s="3"/>
      <c r="N1040" s="3"/>
      <c r="Q1040" s="3"/>
      <c r="R1040" s="3"/>
      <c r="S1040" s="3"/>
      <c r="V1040" s="3"/>
      <c r="W1040" s="3"/>
      <c r="X1040" s="3"/>
      <c r="Y1040" s="3"/>
      <c r="Z1040" s="3"/>
      <c r="AA1040" s="3"/>
      <c r="AB1040" s="3"/>
    </row>
    <row r="1041" spans="1:28" x14ac:dyDescent="0.3">
      <c r="A1041" s="2"/>
      <c r="F1041" s="3"/>
      <c r="G1041" s="3"/>
      <c r="N1041" s="3"/>
      <c r="Q1041" s="3"/>
      <c r="R1041" s="3"/>
      <c r="S1041" s="3"/>
      <c r="V1041" s="3"/>
      <c r="W1041" s="3"/>
      <c r="X1041" s="3"/>
      <c r="Y1041" s="3"/>
      <c r="Z1041" s="3"/>
      <c r="AA1041" s="3"/>
      <c r="AB1041" s="3"/>
    </row>
    <row r="1042" spans="1:28" x14ac:dyDescent="0.3">
      <c r="A1042" s="2"/>
      <c r="F1042" s="3"/>
      <c r="G1042" s="3"/>
      <c r="N1042" s="3"/>
      <c r="Q1042" s="3"/>
      <c r="R1042" s="3"/>
      <c r="S1042" s="3"/>
      <c r="V1042" s="3"/>
      <c r="W1042" s="3"/>
      <c r="X1042" s="3"/>
      <c r="Y1042" s="3"/>
      <c r="Z1042" s="3"/>
      <c r="AA1042" s="3"/>
      <c r="AB1042" s="3"/>
    </row>
    <row r="1043" spans="1:28" x14ac:dyDescent="0.3">
      <c r="A1043" s="2"/>
      <c r="F1043" s="3"/>
      <c r="G1043" s="3"/>
      <c r="N1043" s="3"/>
      <c r="Q1043" s="3"/>
      <c r="R1043" s="3"/>
      <c r="S1043" s="3"/>
      <c r="V1043" s="3"/>
      <c r="W1043" s="3"/>
      <c r="X1043" s="3"/>
      <c r="Y1043" s="3"/>
      <c r="Z1043" s="3"/>
      <c r="AA1043" s="3"/>
      <c r="AB1043" s="3"/>
    </row>
    <row r="1044" spans="1:28" x14ac:dyDescent="0.3">
      <c r="A1044" s="2"/>
      <c r="F1044" s="3"/>
      <c r="G1044" s="3"/>
      <c r="N1044" s="3"/>
      <c r="Q1044" s="3"/>
      <c r="R1044" s="3"/>
      <c r="S1044" s="3"/>
      <c r="V1044" s="3"/>
      <c r="W1044" s="3"/>
      <c r="X1044" s="3"/>
      <c r="Y1044" s="3"/>
      <c r="Z1044" s="3"/>
      <c r="AA1044" s="3"/>
      <c r="AB1044" s="3"/>
    </row>
    <row r="1045" spans="1:28" x14ac:dyDescent="0.3">
      <c r="A1045" s="2"/>
      <c r="F1045" s="3"/>
      <c r="G1045" s="3"/>
      <c r="N1045" s="3"/>
      <c r="Q1045" s="3"/>
      <c r="R1045" s="3"/>
      <c r="S1045" s="3"/>
      <c r="V1045" s="3"/>
      <c r="W1045" s="3"/>
      <c r="X1045" s="3"/>
      <c r="Y1045" s="3"/>
      <c r="Z1045" s="3"/>
      <c r="AA1045" s="3"/>
      <c r="AB1045" s="3"/>
    </row>
    <row r="1046" spans="1:28" x14ac:dyDescent="0.3">
      <c r="A1046" s="2"/>
      <c r="F1046" s="3"/>
      <c r="G1046" s="3"/>
      <c r="N1046" s="3"/>
      <c r="Q1046" s="3"/>
      <c r="R1046" s="3"/>
      <c r="S1046" s="3"/>
      <c r="V1046" s="3"/>
      <c r="W1046" s="3"/>
      <c r="X1046" s="3"/>
      <c r="Y1046" s="3"/>
      <c r="Z1046" s="3"/>
      <c r="AA1046" s="3"/>
      <c r="AB1046" s="3"/>
    </row>
    <row r="1047" spans="1:28" x14ac:dyDescent="0.3">
      <c r="A1047" s="2"/>
      <c r="F1047" s="3"/>
      <c r="G1047" s="3"/>
      <c r="N1047" s="3"/>
      <c r="Q1047" s="3"/>
      <c r="R1047" s="3"/>
      <c r="S1047" s="3"/>
      <c r="V1047" s="3"/>
      <c r="W1047" s="3"/>
      <c r="X1047" s="3"/>
      <c r="Y1047" s="3"/>
      <c r="Z1047" s="3"/>
      <c r="AA1047" s="3"/>
      <c r="AB1047" s="3"/>
    </row>
    <row r="1048" spans="1:28" x14ac:dyDescent="0.3">
      <c r="A1048" s="2"/>
      <c r="F1048" s="3"/>
      <c r="G1048" s="3"/>
      <c r="N1048" s="3"/>
      <c r="Q1048" s="3"/>
      <c r="R1048" s="3"/>
      <c r="S1048" s="3"/>
      <c r="V1048" s="3"/>
      <c r="W1048" s="3"/>
      <c r="X1048" s="3"/>
      <c r="Y1048" s="3"/>
      <c r="Z1048" s="3"/>
      <c r="AA1048" s="3"/>
      <c r="AB1048" s="3"/>
    </row>
    <row r="1049" spans="1:28" x14ac:dyDescent="0.3">
      <c r="A1049" s="2"/>
      <c r="F1049" s="3"/>
      <c r="G1049" s="3"/>
      <c r="N1049" s="3"/>
      <c r="Q1049" s="3"/>
      <c r="R1049" s="3"/>
      <c r="S1049" s="3"/>
      <c r="V1049" s="3"/>
      <c r="W1049" s="3"/>
      <c r="X1049" s="3"/>
      <c r="Y1049" s="3"/>
      <c r="Z1049" s="3"/>
      <c r="AA1049" s="3"/>
      <c r="AB1049" s="3"/>
    </row>
    <row r="1050" spans="1:28" x14ac:dyDescent="0.3">
      <c r="A1050" s="2"/>
      <c r="F1050" s="3"/>
      <c r="G1050" s="3"/>
      <c r="N1050" s="3"/>
      <c r="Q1050" s="3"/>
      <c r="R1050" s="3"/>
      <c r="S1050" s="3"/>
      <c r="V1050" s="3"/>
      <c r="W1050" s="3"/>
      <c r="X1050" s="3"/>
      <c r="Y1050" s="3"/>
      <c r="Z1050" s="3"/>
      <c r="AA1050" s="3"/>
      <c r="AB1050" s="3"/>
    </row>
    <row r="1051" spans="1:28" x14ac:dyDescent="0.3">
      <c r="A1051" s="2"/>
      <c r="F1051" s="3"/>
      <c r="G1051" s="3"/>
      <c r="N1051" s="3"/>
      <c r="Q1051" s="3"/>
      <c r="R1051" s="3"/>
      <c r="S1051" s="3"/>
      <c r="V1051" s="3"/>
      <c r="W1051" s="3"/>
      <c r="X1051" s="3"/>
      <c r="Y1051" s="3"/>
      <c r="Z1051" s="3"/>
      <c r="AA1051" s="3"/>
      <c r="AB1051" s="3"/>
    </row>
    <row r="1052" spans="1:28" x14ac:dyDescent="0.3">
      <c r="A1052" s="2"/>
      <c r="F1052" s="3"/>
      <c r="G1052" s="3"/>
      <c r="N1052" s="3"/>
      <c r="Q1052" s="3"/>
      <c r="R1052" s="3"/>
      <c r="S1052" s="3"/>
      <c r="V1052" s="3"/>
      <c r="W1052" s="3"/>
      <c r="X1052" s="3"/>
      <c r="Y1052" s="3"/>
      <c r="Z1052" s="3"/>
      <c r="AA1052" s="3"/>
      <c r="AB1052" s="3"/>
    </row>
    <row r="1053" spans="1:28" x14ac:dyDescent="0.3">
      <c r="A1053" s="2"/>
      <c r="F1053" s="3"/>
      <c r="G1053" s="3"/>
      <c r="N1053" s="3"/>
      <c r="Q1053" s="3"/>
      <c r="R1053" s="3"/>
      <c r="S1053" s="3"/>
      <c r="V1053" s="3"/>
      <c r="W1053" s="3"/>
      <c r="X1053" s="3"/>
      <c r="Y1053" s="3"/>
      <c r="Z1053" s="3"/>
      <c r="AA1053" s="3"/>
      <c r="AB1053" s="3"/>
    </row>
    <row r="1054" spans="1:28" x14ac:dyDescent="0.3">
      <c r="A1054" s="2"/>
      <c r="F1054" s="3"/>
      <c r="G1054" s="3"/>
      <c r="N1054" s="3"/>
      <c r="Q1054" s="3"/>
      <c r="R1054" s="3"/>
      <c r="S1054" s="3"/>
      <c r="V1054" s="3"/>
      <c r="W1054" s="3"/>
      <c r="X1054" s="3"/>
      <c r="Y1054" s="3"/>
      <c r="Z1054" s="3"/>
      <c r="AA1054" s="3"/>
      <c r="AB1054" s="3"/>
    </row>
    <row r="1055" spans="1:28" x14ac:dyDescent="0.3">
      <c r="A1055" s="2"/>
      <c r="F1055" s="3"/>
      <c r="G1055" s="3"/>
      <c r="N1055" s="3"/>
      <c r="Q1055" s="3"/>
      <c r="R1055" s="3"/>
      <c r="S1055" s="3"/>
      <c r="V1055" s="3"/>
      <c r="W1055" s="3"/>
      <c r="X1055" s="3"/>
      <c r="Y1055" s="3"/>
      <c r="Z1055" s="3"/>
      <c r="AA1055" s="3"/>
      <c r="AB1055" s="3"/>
    </row>
    <row r="1056" spans="1:28" x14ac:dyDescent="0.3">
      <c r="A1056" s="2"/>
      <c r="F1056" s="3"/>
      <c r="G1056" s="3"/>
      <c r="N1056" s="3"/>
      <c r="Q1056" s="3"/>
      <c r="R1056" s="3"/>
      <c r="S1056" s="3"/>
      <c r="V1056" s="3"/>
      <c r="W1056" s="3"/>
      <c r="X1056" s="3"/>
      <c r="Y1056" s="3"/>
      <c r="Z1056" s="3"/>
      <c r="AA1056" s="3"/>
      <c r="AB1056" s="3"/>
    </row>
    <row r="1057" spans="1:28" x14ac:dyDescent="0.3">
      <c r="A1057" s="2"/>
      <c r="F1057" s="3"/>
      <c r="G1057" s="3"/>
      <c r="N1057" s="3"/>
      <c r="Q1057" s="3"/>
      <c r="R1057" s="3"/>
      <c r="S1057" s="3"/>
      <c r="V1057" s="3"/>
      <c r="W1057" s="3"/>
      <c r="X1057" s="3"/>
      <c r="Y1057" s="3"/>
      <c r="Z1057" s="3"/>
      <c r="AA1057" s="3"/>
      <c r="AB1057" s="3"/>
    </row>
    <row r="1058" spans="1:28" x14ac:dyDescent="0.3">
      <c r="A1058" s="2"/>
      <c r="F1058" s="3"/>
      <c r="G1058" s="3"/>
      <c r="N1058" s="3"/>
      <c r="Q1058" s="3"/>
      <c r="R1058" s="3"/>
      <c r="S1058" s="3"/>
      <c r="V1058" s="3"/>
      <c r="W1058" s="3"/>
      <c r="X1058" s="3"/>
      <c r="Y1058" s="3"/>
      <c r="Z1058" s="3"/>
      <c r="AA1058" s="3"/>
      <c r="AB1058" s="3"/>
    </row>
    <row r="1059" spans="1:28" x14ac:dyDescent="0.3">
      <c r="A1059" s="2"/>
      <c r="F1059" s="3"/>
      <c r="G1059" s="3"/>
      <c r="N1059" s="3"/>
      <c r="Q1059" s="3"/>
      <c r="R1059" s="3"/>
      <c r="S1059" s="3"/>
      <c r="V1059" s="3"/>
      <c r="W1059" s="3"/>
      <c r="X1059" s="3"/>
      <c r="Y1059" s="3"/>
      <c r="Z1059" s="3"/>
      <c r="AA1059" s="3"/>
      <c r="AB1059" s="3"/>
    </row>
    <row r="1060" spans="1:28" x14ac:dyDescent="0.3">
      <c r="A1060" s="2"/>
      <c r="F1060" s="3"/>
      <c r="G1060" s="3"/>
      <c r="N1060" s="3"/>
      <c r="Q1060" s="3"/>
      <c r="R1060" s="3"/>
      <c r="S1060" s="3"/>
      <c r="V1060" s="3"/>
      <c r="W1060" s="3"/>
      <c r="X1060" s="3"/>
      <c r="Y1060" s="3"/>
      <c r="Z1060" s="3"/>
      <c r="AA1060" s="3"/>
      <c r="AB1060" s="3"/>
    </row>
    <row r="1061" spans="1:28" x14ac:dyDescent="0.3">
      <c r="A1061" s="2"/>
      <c r="F1061" s="3"/>
      <c r="G1061" s="3"/>
      <c r="N1061" s="3"/>
      <c r="Q1061" s="3"/>
      <c r="R1061" s="3"/>
      <c r="S1061" s="3"/>
      <c r="V1061" s="3"/>
      <c r="W1061" s="3"/>
      <c r="X1061" s="3"/>
      <c r="Y1061" s="3"/>
      <c r="Z1061" s="3"/>
      <c r="AA1061" s="3"/>
      <c r="AB1061" s="3"/>
    </row>
    <row r="1062" spans="1:28" x14ac:dyDescent="0.3">
      <c r="A1062" s="2"/>
      <c r="F1062" s="3"/>
      <c r="G1062" s="3"/>
      <c r="N1062" s="3"/>
      <c r="Q1062" s="3"/>
      <c r="R1062" s="3"/>
      <c r="S1062" s="3"/>
      <c r="V1062" s="3"/>
      <c r="W1062" s="3"/>
      <c r="X1062" s="3"/>
      <c r="Y1062" s="3"/>
      <c r="Z1062" s="3"/>
      <c r="AA1062" s="3"/>
      <c r="AB1062" s="3"/>
    </row>
    <row r="1063" spans="1:28" x14ac:dyDescent="0.3">
      <c r="A1063" s="2"/>
      <c r="F1063" s="3"/>
      <c r="G1063" s="3"/>
      <c r="N1063" s="3"/>
      <c r="Q1063" s="3"/>
      <c r="R1063" s="3"/>
      <c r="S1063" s="3"/>
      <c r="V1063" s="3"/>
      <c r="W1063" s="3"/>
      <c r="X1063" s="3"/>
      <c r="Y1063" s="3"/>
      <c r="Z1063" s="3"/>
      <c r="AA1063" s="3"/>
      <c r="AB1063" s="3"/>
    </row>
    <row r="1064" spans="1:28" x14ac:dyDescent="0.3">
      <c r="A1064" s="2"/>
      <c r="F1064" s="3"/>
      <c r="G1064" s="3"/>
      <c r="N1064" s="3"/>
      <c r="Q1064" s="3"/>
      <c r="R1064" s="3"/>
      <c r="S1064" s="3"/>
      <c r="V1064" s="3"/>
      <c r="W1064" s="3"/>
      <c r="X1064" s="3"/>
      <c r="Y1064" s="3"/>
      <c r="Z1064" s="3"/>
      <c r="AA1064" s="3"/>
      <c r="AB1064" s="3"/>
    </row>
    <row r="1065" spans="1:28" x14ac:dyDescent="0.3">
      <c r="A1065" s="2"/>
      <c r="F1065" s="3"/>
      <c r="G1065" s="3"/>
      <c r="N1065" s="3"/>
      <c r="Q1065" s="3"/>
      <c r="R1065" s="3"/>
      <c r="S1065" s="3"/>
      <c r="V1065" s="3"/>
      <c r="W1065" s="3"/>
      <c r="X1065" s="3"/>
      <c r="Y1065" s="3"/>
      <c r="Z1065" s="3"/>
      <c r="AA1065" s="3"/>
      <c r="AB1065" s="3"/>
    </row>
    <row r="1066" spans="1:28" x14ac:dyDescent="0.3">
      <c r="A1066" s="2"/>
      <c r="F1066" s="3"/>
      <c r="G1066" s="3"/>
      <c r="N1066" s="3"/>
      <c r="Q1066" s="3"/>
      <c r="R1066" s="3"/>
      <c r="S1066" s="3"/>
      <c r="V1066" s="3"/>
      <c r="W1066" s="3"/>
      <c r="X1066" s="3"/>
      <c r="Y1066" s="3"/>
      <c r="Z1066" s="3"/>
      <c r="AA1066" s="3"/>
      <c r="AB1066" s="3"/>
    </row>
    <row r="1067" spans="1:28" x14ac:dyDescent="0.3">
      <c r="A1067" s="2"/>
      <c r="F1067" s="3"/>
      <c r="G1067" s="3"/>
      <c r="N1067" s="3"/>
      <c r="Q1067" s="3"/>
      <c r="R1067" s="3"/>
      <c r="S1067" s="3"/>
      <c r="V1067" s="3"/>
      <c r="W1067" s="3"/>
      <c r="X1067" s="3"/>
      <c r="Y1067" s="3"/>
      <c r="Z1067" s="3"/>
      <c r="AA1067" s="3"/>
      <c r="AB1067" s="3"/>
    </row>
    <row r="1068" spans="1:28" x14ac:dyDescent="0.3">
      <c r="A1068" s="2"/>
      <c r="F1068" s="3"/>
      <c r="G1068" s="3"/>
      <c r="N1068" s="3"/>
      <c r="Q1068" s="3"/>
      <c r="R1068" s="3"/>
      <c r="S1068" s="3"/>
      <c r="V1068" s="3"/>
      <c r="W1068" s="3"/>
      <c r="X1068" s="3"/>
      <c r="Y1068" s="3"/>
      <c r="Z1068" s="3"/>
      <c r="AA1068" s="3"/>
      <c r="AB1068" s="3"/>
    </row>
    <row r="1069" spans="1:28" x14ac:dyDescent="0.3">
      <c r="A1069" s="2"/>
      <c r="F1069" s="3"/>
      <c r="G1069" s="3"/>
      <c r="N1069" s="3"/>
      <c r="Q1069" s="3"/>
      <c r="R1069" s="3"/>
      <c r="S1069" s="3"/>
      <c r="V1069" s="3"/>
      <c r="W1069" s="3"/>
      <c r="X1069" s="3"/>
      <c r="Y1069" s="3"/>
      <c r="Z1069" s="3"/>
      <c r="AA1069" s="3"/>
      <c r="AB1069" s="3"/>
    </row>
    <row r="1070" spans="1:28" x14ac:dyDescent="0.3">
      <c r="A1070" s="2"/>
      <c r="F1070" s="3"/>
      <c r="G1070" s="3"/>
      <c r="N1070" s="3"/>
      <c r="Q1070" s="3"/>
      <c r="R1070" s="3"/>
      <c r="S1070" s="3"/>
      <c r="V1070" s="3"/>
      <c r="W1070" s="3"/>
      <c r="X1070" s="3"/>
      <c r="Y1070" s="3"/>
      <c r="Z1070" s="3"/>
      <c r="AA1070" s="3"/>
      <c r="AB1070" s="3"/>
    </row>
    <row r="1071" spans="1:28" x14ac:dyDescent="0.3">
      <c r="A1071" s="2"/>
      <c r="F1071" s="3"/>
      <c r="G1071" s="3"/>
      <c r="N1071" s="3"/>
      <c r="Q1071" s="3"/>
      <c r="R1071" s="3"/>
      <c r="S1071" s="3"/>
      <c r="V1071" s="3"/>
      <c r="W1071" s="3"/>
      <c r="X1071" s="3"/>
      <c r="Y1071" s="3"/>
      <c r="Z1071" s="3"/>
      <c r="AA1071" s="3"/>
      <c r="AB1071" s="3"/>
    </row>
    <row r="1072" spans="1:28" x14ac:dyDescent="0.3">
      <c r="A1072" s="2"/>
      <c r="F1072" s="3"/>
      <c r="G1072" s="3"/>
      <c r="N1072" s="3"/>
      <c r="Q1072" s="3"/>
      <c r="R1072" s="3"/>
      <c r="S1072" s="3"/>
      <c r="V1072" s="3"/>
      <c r="W1072" s="3"/>
      <c r="X1072" s="3"/>
      <c r="Y1072" s="3"/>
      <c r="Z1072" s="3"/>
      <c r="AA1072" s="3"/>
      <c r="AB1072" s="3"/>
    </row>
    <row r="1073" spans="1:28" x14ac:dyDescent="0.3">
      <c r="A1073" s="2"/>
      <c r="F1073" s="3"/>
      <c r="G1073" s="3"/>
      <c r="N1073" s="3"/>
      <c r="Q1073" s="3"/>
      <c r="R1073" s="3"/>
      <c r="S1073" s="3"/>
      <c r="V1073" s="3"/>
      <c r="W1073" s="3"/>
      <c r="X1073" s="3"/>
      <c r="Y1073" s="3"/>
      <c r="Z1073" s="3"/>
      <c r="AA1073" s="3"/>
      <c r="AB1073" s="3"/>
    </row>
    <row r="1074" spans="1:28" x14ac:dyDescent="0.3">
      <c r="A1074" s="2"/>
      <c r="F1074" s="3"/>
      <c r="G1074" s="3"/>
      <c r="N1074" s="3"/>
      <c r="Q1074" s="3"/>
      <c r="R1074" s="3"/>
      <c r="S1074" s="3"/>
      <c r="V1074" s="3"/>
      <c r="W1074" s="3"/>
      <c r="X1074" s="3"/>
      <c r="Y1074" s="3"/>
      <c r="Z1074" s="3"/>
      <c r="AA1074" s="3"/>
      <c r="AB1074" s="3"/>
    </row>
    <row r="1075" spans="1:28" x14ac:dyDescent="0.3">
      <c r="A1075" s="2"/>
      <c r="F1075" s="3"/>
      <c r="G1075" s="3"/>
      <c r="N1075" s="3"/>
      <c r="Q1075" s="3"/>
      <c r="R1075" s="3"/>
      <c r="S1075" s="3"/>
      <c r="V1075" s="3"/>
      <c r="W1075" s="3"/>
      <c r="X1075" s="3"/>
      <c r="Y1075" s="3"/>
      <c r="Z1075" s="3"/>
      <c r="AA1075" s="3"/>
      <c r="AB1075" s="3"/>
    </row>
    <row r="1076" spans="1:28" x14ac:dyDescent="0.3">
      <c r="A1076" s="2"/>
      <c r="F1076" s="3"/>
      <c r="G1076" s="3"/>
      <c r="N1076" s="3"/>
      <c r="Q1076" s="3"/>
      <c r="R1076" s="3"/>
      <c r="S1076" s="3"/>
      <c r="V1076" s="3"/>
      <c r="W1076" s="3"/>
      <c r="X1076" s="3"/>
      <c r="Y1076" s="3"/>
      <c r="Z1076" s="3"/>
      <c r="AA1076" s="3"/>
      <c r="AB1076" s="3"/>
    </row>
    <row r="1077" spans="1:28" x14ac:dyDescent="0.3">
      <c r="A1077" s="2"/>
      <c r="F1077" s="3"/>
      <c r="G1077" s="3"/>
      <c r="N1077" s="3"/>
      <c r="Q1077" s="3"/>
      <c r="R1077" s="3"/>
      <c r="S1077" s="3"/>
      <c r="V1077" s="3"/>
      <c r="W1077" s="3"/>
      <c r="X1077" s="3"/>
      <c r="Y1077" s="3"/>
      <c r="Z1077" s="3"/>
      <c r="AA1077" s="3"/>
      <c r="AB1077" s="3"/>
    </row>
    <row r="1078" spans="1:28" x14ac:dyDescent="0.3">
      <c r="A1078" s="2"/>
      <c r="F1078" s="3"/>
      <c r="G1078" s="3"/>
      <c r="N1078" s="3"/>
      <c r="Q1078" s="3"/>
      <c r="R1078" s="3"/>
      <c r="S1078" s="3"/>
      <c r="V1078" s="3"/>
      <c r="W1078" s="3"/>
      <c r="X1078" s="3"/>
      <c r="Y1078" s="3"/>
      <c r="Z1078" s="3"/>
      <c r="AA1078" s="3"/>
      <c r="AB1078" s="3"/>
    </row>
    <row r="1079" spans="1:28" x14ac:dyDescent="0.3">
      <c r="A1079" s="2"/>
      <c r="F1079" s="3"/>
      <c r="G1079" s="3"/>
      <c r="N1079" s="3"/>
      <c r="Q1079" s="3"/>
      <c r="R1079" s="3"/>
      <c r="S1079" s="3"/>
      <c r="V1079" s="3"/>
      <c r="W1079" s="3"/>
      <c r="X1079" s="3"/>
      <c r="Y1079" s="3"/>
      <c r="Z1079" s="3"/>
      <c r="AA1079" s="3"/>
      <c r="AB1079" s="3"/>
    </row>
    <row r="1080" spans="1:28" x14ac:dyDescent="0.3">
      <c r="A1080" s="2"/>
      <c r="F1080" s="3"/>
      <c r="G1080" s="3"/>
      <c r="N1080" s="3"/>
      <c r="Q1080" s="3"/>
      <c r="R1080" s="3"/>
      <c r="S1080" s="3"/>
      <c r="V1080" s="3"/>
      <c r="W1080" s="3"/>
      <c r="X1080" s="3"/>
      <c r="Y1080" s="3"/>
      <c r="Z1080" s="3"/>
      <c r="AA1080" s="3"/>
      <c r="AB1080" s="3"/>
    </row>
    <row r="1081" spans="1:28" x14ac:dyDescent="0.3">
      <c r="A1081" s="2"/>
      <c r="F1081" s="3"/>
      <c r="G1081" s="3"/>
      <c r="N1081" s="3"/>
      <c r="Q1081" s="3"/>
      <c r="R1081" s="3"/>
      <c r="S1081" s="3"/>
      <c r="V1081" s="3"/>
      <c r="W1081" s="3"/>
      <c r="X1081" s="3"/>
      <c r="Y1081" s="3"/>
      <c r="Z1081" s="3"/>
      <c r="AA1081" s="3"/>
      <c r="AB1081" s="3"/>
    </row>
    <row r="1082" spans="1:28" x14ac:dyDescent="0.3">
      <c r="A1082" s="2"/>
      <c r="F1082" s="3"/>
      <c r="G1082" s="3"/>
      <c r="N1082" s="3"/>
      <c r="Q1082" s="3"/>
      <c r="R1082" s="3"/>
      <c r="S1082" s="3"/>
      <c r="V1082" s="3"/>
      <c r="W1082" s="3"/>
      <c r="X1082" s="3"/>
      <c r="Y1082" s="3"/>
      <c r="Z1082" s="3"/>
      <c r="AA1082" s="3"/>
      <c r="AB1082" s="3"/>
    </row>
    <row r="1083" spans="1:28" x14ac:dyDescent="0.3">
      <c r="A1083" s="2"/>
      <c r="F1083" s="3"/>
      <c r="G1083" s="3"/>
      <c r="N1083" s="3"/>
      <c r="Q1083" s="3"/>
      <c r="R1083" s="3"/>
      <c r="S1083" s="3"/>
      <c r="V1083" s="3"/>
      <c r="W1083" s="3"/>
      <c r="X1083" s="3"/>
      <c r="Y1083" s="3"/>
      <c r="Z1083" s="3"/>
      <c r="AA1083" s="3"/>
      <c r="AB1083" s="3"/>
    </row>
    <row r="1084" spans="1:28" x14ac:dyDescent="0.3">
      <c r="A1084" s="2"/>
      <c r="F1084" s="3"/>
      <c r="G1084" s="3"/>
      <c r="N1084" s="3"/>
      <c r="Q1084" s="3"/>
      <c r="R1084" s="3"/>
      <c r="S1084" s="3"/>
      <c r="V1084" s="3"/>
      <c r="W1084" s="3"/>
      <c r="X1084" s="3"/>
      <c r="Y1084" s="3"/>
      <c r="Z1084" s="3"/>
      <c r="AA1084" s="3"/>
      <c r="AB1084" s="3"/>
    </row>
    <row r="1085" spans="1:28" x14ac:dyDescent="0.3">
      <c r="A1085" s="2"/>
      <c r="F1085" s="3"/>
      <c r="G1085" s="3"/>
      <c r="N1085" s="3"/>
      <c r="Q1085" s="3"/>
      <c r="R1085" s="3"/>
      <c r="S1085" s="3"/>
      <c r="V1085" s="3"/>
      <c r="W1085" s="3"/>
      <c r="X1085" s="3"/>
      <c r="Y1085" s="3"/>
      <c r="Z1085" s="3"/>
      <c r="AA1085" s="3"/>
      <c r="AB1085" s="3"/>
    </row>
    <row r="1086" spans="1:28" x14ac:dyDescent="0.3">
      <c r="A1086" s="2"/>
      <c r="F1086" s="3"/>
      <c r="G1086" s="3"/>
      <c r="N1086" s="3"/>
      <c r="Q1086" s="3"/>
      <c r="R1086" s="3"/>
      <c r="S1086" s="3"/>
      <c r="V1086" s="3"/>
      <c r="W1086" s="3"/>
      <c r="X1086" s="3"/>
      <c r="Y1086" s="3"/>
      <c r="Z1086" s="3"/>
      <c r="AA1086" s="3"/>
      <c r="AB1086" s="3"/>
    </row>
    <row r="1087" spans="1:28" x14ac:dyDescent="0.3">
      <c r="A1087" s="2"/>
      <c r="F1087" s="3"/>
      <c r="G1087" s="3"/>
      <c r="N1087" s="3"/>
      <c r="Q1087" s="3"/>
      <c r="R1087" s="3"/>
      <c r="S1087" s="3"/>
      <c r="V1087" s="3"/>
      <c r="W1087" s="3"/>
      <c r="X1087" s="3"/>
      <c r="Y1087" s="3"/>
      <c r="Z1087" s="3"/>
      <c r="AA1087" s="3"/>
      <c r="AB1087" s="3"/>
    </row>
    <row r="1088" spans="1:28" x14ac:dyDescent="0.3">
      <c r="A1088" s="2"/>
      <c r="F1088" s="3"/>
      <c r="G1088" s="3"/>
      <c r="N1088" s="3"/>
      <c r="Q1088" s="3"/>
      <c r="R1088" s="3"/>
      <c r="S1088" s="3"/>
      <c r="V1088" s="3"/>
      <c r="W1088" s="3"/>
      <c r="X1088" s="3"/>
      <c r="Y1088" s="3"/>
      <c r="Z1088" s="3"/>
      <c r="AA1088" s="3"/>
      <c r="AB1088" s="3"/>
    </row>
    <row r="1089" spans="1:28" x14ac:dyDescent="0.3">
      <c r="A1089" s="2"/>
      <c r="F1089" s="3"/>
      <c r="G1089" s="3"/>
      <c r="N1089" s="3"/>
      <c r="Q1089" s="3"/>
      <c r="R1089" s="3"/>
      <c r="S1089" s="3"/>
      <c r="V1089" s="3"/>
      <c r="W1089" s="3"/>
      <c r="X1089" s="3"/>
      <c r="Y1089" s="3"/>
      <c r="Z1089" s="3"/>
      <c r="AA1089" s="3"/>
      <c r="AB1089" s="3"/>
    </row>
    <row r="1090" spans="1:28" x14ac:dyDescent="0.3">
      <c r="A1090" s="2"/>
      <c r="F1090" s="3"/>
      <c r="G1090" s="3"/>
      <c r="N1090" s="3"/>
      <c r="Q1090" s="3"/>
      <c r="R1090" s="3"/>
      <c r="S1090" s="3"/>
      <c r="V1090" s="3"/>
      <c r="W1090" s="3"/>
      <c r="X1090" s="3"/>
      <c r="Y1090" s="3"/>
      <c r="Z1090" s="3"/>
      <c r="AA1090" s="3"/>
      <c r="AB1090" s="3"/>
    </row>
    <row r="1091" spans="1:28" x14ac:dyDescent="0.3">
      <c r="A1091" s="2"/>
      <c r="F1091" s="3"/>
      <c r="G1091" s="3"/>
      <c r="N1091" s="3"/>
      <c r="Q1091" s="3"/>
      <c r="R1091" s="3"/>
      <c r="S1091" s="3"/>
      <c r="V1091" s="3"/>
      <c r="W1091" s="3"/>
      <c r="X1091" s="3"/>
      <c r="Y1091" s="3"/>
      <c r="Z1091" s="3"/>
      <c r="AA1091" s="3"/>
      <c r="AB1091" s="3"/>
    </row>
    <row r="1092" spans="1:28" x14ac:dyDescent="0.3">
      <c r="A1092" s="2"/>
      <c r="F1092" s="3"/>
      <c r="G1092" s="3"/>
      <c r="N1092" s="3"/>
      <c r="Q1092" s="3"/>
      <c r="R1092" s="3"/>
      <c r="S1092" s="3"/>
      <c r="V1092" s="3"/>
      <c r="W1092" s="3"/>
      <c r="X1092" s="3"/>
      <c r="Y1092" s="3"/>
      <c r="Z1092" s="3"/>
      <c r="AA1092" s="3"/>
      <c r="AB1092" s="3"/>
    </row>
    <row r="1093" spans="1:28" x14ac:dyDescent="0.3">
      <c r="A1093" s="2"/>
      <c r="F1093" s="3"/>
      <c r="G1093" s="3"/>
      <c r="N1093" s="3"/>
      <c r="Q1093" s="3"/>
      <c r="R1093" s="3"/>
      <c r="S1093" s="3"/>
      <c r="V1093" s="3"/>
      <c r="W1093" s="3"/>
      <c r="X1093" s="3"/>
      <c r="Y1093" s="3"/>
      <c r="Z1093" s="3"/>
      <c r="AA1093" s="3"/>
      <c r="AB1093" s="3"/>
    </row>
    <row r="1094" spans="1:28" x14ac:dyDescent="0.3">
      <c r="A1094" s="2"/>
      <c r="F1094" s="3"/>
      <c r="G1094" s="3"/>
      <c r="N1094" s="3"/>
      <c r="Q1094" s="3"/>
      <c r="R1094" s="3"/>
      <c r="S1094" s="3"/>
      <c r="V1094" s="3"/>
      <c r="W1094" s="3"/>
      <c r="X1094" s="3"/>
      <c r="Y1094" s="3"/>
      <c r="Z1094" s="3"/>
      <c r="AA1094" s="3"/>
      <c r="AB1094" s="3"/>
    </row>
    <row r="1095" spans="1:28" x14ac:dyDescent="0.3">
      <c r="A1095" s="2"/>
      <c r="F1095" s="3"/>
      <c r="G1095" s="3"/>
      <c r="N1095" s="3"/>
      <c r="Q1095" s="3"/>
      <c r="R1095" s="3"/>
      <c r="S1095" s="3"/>
      <c r="V1095" s="3"/>
      <c r="W1095" s="3"/>
      <c r="X1095" s="3"/>
      <c r="Y1095" s="3"/>
      <c r="Z1095" s="3"/>
      <c r="AA1095" s="3"/>
      <c r="AB1095" s="3"/>
    </row>
    <row r="1096" spans="1:28" x14ac:dyDescent="0.3">
      <c r="A1096" s="2"/>
      <c r="F1096" s="3"/>
      <c r="G1096" s="3"/>
      <c r="N1096" s="3"/>
      <c r="Q1096" s="3"/>
      <c r="R1096" s="3"/>
      <c r="S1096" s="3"/>
      <c r="V1096" s="3"/>
      <c r="W1096" s="3"/>
      <c r="X1096" s="3"/>
      <c r="Y1096" s="3"/>
      <c r="Z1096" s="3"/>
      <c r="AA1096" s="3"/>
      <c r="AB1096" s="3"/>
    </row>
    <row r="1097" spans="1:28" x14ac:dyDescent="0.3">
      <c r="A1097" s="2"/>
      <c r="F1097" s="3"/>
      <c r="G1097" s="3"/>
      <c r="N1097" s="3"/>
      <c r="Q1097" s="3"/>
      <c r="R1097" s="3"/>
      <c r="S1097" s="3"/>
      <c r="V1097" s="3"/>
      <c r="W1097" s="3"/>
      <c r="X1097" s="3"/>
      <c r="Y1097" s="3"/>
      <c r="Z1097" s="3"/>
      <c r="AA1097" s="3"/>
      <c r="AB1097" s="3"/>
    </row>
    <row r="1098" spans="1:28" x14ac:dyDescent="0.3">
      <c r="A1098" s="2"/>
      <c r="F1098" s="3"/>
      <c r="G1098" s="3"/>
      <c r="N1098" s="3"/>
      <c r="Q1098" s="3"/>
      <c r="R1098" s="3"/>
      <c r="S1098" s="3"/>
      <c r="V1098" s="3"/>
      <c r="W1098" s="3"/>
      <c r="X1098" s="3"/>
      <c r="Y1098" s="3"/>
      <c r="Z1098" s="3"/>
      <c r="AA1098" s="3"/>
      <c r="AB1098" s="3"/>
    </row>
    <row r="1099" spans="1:28" x14ac:dyDescent="0.3">
      <c r="A1099" s="2"/>
      <c r="F1099" s="3"/>
      <c r="G1099" s="3"/>
      <c r="N1099" s="3"/>
      <c r="Q1099" s="3"/>
      <c r="R1099" s="3"/>
      <c r="S1099" s="3"/>
      <c r="V1099" s="3"/>
      <c r="W1099" s="3"/>
      <c r="X1099" s="3"/>
      <c r="Y1099" s="3"/>
      <c r="Z1099" s="3"/>
      <c r="AA1099" s="3"/>
      <c r="AB1099" s="3"/>
    </row>
    <row r="1100" spans="1:28" x14ac:dyDescent="0.3">
      <c r="A1100" s="2"/>
      <c r="F1100" s="3"/>
      <c r="G1100" s="3"/>
      <c r="N1100" s="3"/>
      <c r="Q1100" s="3"/>
      <c r="R1100" s="3"/>
      <c r="S1100" s="3"/>
      <c r="V1100" s="3"/>
      <c r="W1100" s="3"/>
      <c r="X1100" s="3"/>
      <c r="Y1100" s="3"/>
      <c r="Z1100" s="3"/>
      <c r="AA1100" s="3"/>
      <c r="AB1100" s="3"/>
    </row>
    <row r="1101" spans="1:28" x14ac:dyDescent="0.3">
      <c r="A1101" s="2"/>
      <c r="F1101" s="3"/>
      <c r="G1101" s="3"/>
      <c r="N1101" s="3"/>
      <c r="Q1101" s="3"/>
      <c r="R1101" s="3"/>
      <c r="S1101" s="3"/>
      <c r="V1101" s="3"/>
      <c r="W1101" s="3"/>
      <c r="X1101" s="3"/>
      <c r="Y1101" s="3"/>
      <c r="Z1101" s="3"/>
      <c r="AA1101" s="3"/>
      <c r="AB1101" s="3"/>
    </row>
    <row r="1102" spans="1:28" x14ac:dyDescent="0.3">
      <c r="A1102" s="2"/>
      <c r="F1102" s="3"/>
      <c r="G1102" s="3"/>
      <c r="N1102" s="3"/>
      <c r="Q1102" s="3"/>
      <c r="R1102" s="3"/>
      <c r="S1102" s="3"/>
      <c r="V1102" s="3"/>
      <c r="W1102" s="3"/>
      <c r="X1102" s="3"/>
      <c r="Y1102" s="3"/>
      <c r="Z1102" s="3"/>
      <c r="AA1102" s="3"/>
      <c r="AB1102" s="3"/>
    </row>
    <row r="1103" spans="1:28" x14ac:dyDescent="0.3">
      <c r="A1103" s="2"/>
      <c r="F1103" s="3"/>
      <c r="G1103" s="3"/>
      <c r="N1103" s="3"/>
      <c r="Q1103" s="3"/>
      <c r="R1103" s="3"/>
      <c r="S1103" s="3"/>
      <c r="V1103" s="3"/>
      <c r="W1103" s="3"/>
      <c r="X1103" s="3"/>
      <c r="Y1103" s="3"/>
      <c r="Z1103" s="3"/>
      <c r="AA1103" s="3"/>
      <c r="AB1103" s="3"/>
    </row>
    <row r="1104" spans="1:28" x14ac:dyDescent="0.3">
      <c r="A1104" s="2"/>
      <c r="F1104" s="3"/>
      <c r="G1104" s="3"/>
      <c r="N1104" s="3"/>
      <c r="Q1104" s="3"/>
      <c r="R1104" s="3"/>
      <c r="S1104" s="3"/>
      <c r="V1104" s="3"/>
      <c r="W1104" s="3"/>
      <c r="X1104" s="3"/>
      <c r="Y1104" s="3"/>
      <c r="Z1104" s="3"/>
      <c r="AA1104" s="3"/>
      <c r="AB1104" s="3"/>
    </row>
    <row r="1105" spans="1:28" x14ac:dyDescent="0.3">
      <c r="A1105" s="2"/>
      <c r="F1105" s="3"/>
      <c r="G1105" s="3"/>
      <c r="N1105" s="3"/>
      <c r="Q1105" s="3"/>
      <c r="R1105" s="3"/>
      <c r="S1105" s="3"/>
      <c r="V1105" s="3"/>
      <c r="W1105" s="3"/>
      <c r="X1105" s="3"/>
      <c r="Y1105" s="3"/>
      <c r="Z1105" s="3"/>
      <c r="AA1105" s="3"/>
      <c r="AB1105" s="3"/>
    </row>
    <row r="1106" spans="1:28" x14ac:dyDescent="0.3">
      <c r="A1106" s="2"/>
      <c r="F1106" s="3"/>
      <c r="G1106" s="3"/>
      <c r="N1106" s="3"/>
      <c r="Q1106" s="3"/>
      <c r="R1106" s="3"/>
      <c r="S1106" s="3"/>
      <c r="V1106" s="3"/>
      <c r="W1106" s="3"/>
      <c r="X1106" s="3"/>
      <c r="Y1106" s="3"/>
      <c r="Z1106" s="3"/>
      <c r="AA1106" s="3"/>
      <c r="AB1106" s="3"/>
    </row>
    <row r="1107" spans="1:28" x14ac:dyDescent="0.3">
      <c r="A1107" s="2"/>
      <c r="F1107" s="3"/>
      <c r="G1107" s="3"/>
      <c r="N1107" s="3"/>
      <c r="Q1107" s="3"/>
      <c r="R1107" s="3"/>
      <c r="S1107" s="3"/>
      <c r="V1107" s="3"/>
      <c r="W1107" s="3"/>
      <c r="X1107" s="3"/>
      <c r="Y1107" s="3"/>
      <c r="Z1107" s="3"/>
      <c r="AA1107" s="3"/>
      <c r="AB1107" s="3"/>
    </row>
    <row r="1108" spans="1:28" x14ac:dyDescent="0.3">
      <c r="A1108" s="2"/>
      <c r="F1108" s="3"/>
      <c r="G1108" s="3"/>
      <c r="N1108" s="3"/>
      <c r="Q1108" s="3"/>
      <c r="R1108" s="3"/>
      <c r="S1108" s="3"/>
      <c r="V1108" s="3"/>
      <c r="W1108" s="3"/>
      <c r="X1108" s="3"/>
      <c r="Y1108" s="3"/>
      <c r="Z1108" s="3"/>
      <c r="AA1108" s="3"/>
      <c r="AB1108" s="3"/>
    </row>
    <row r="1109" spans="1:28" x14ac:dyDescent="0.3">
      <c r="A1109" s="2"/>
      <c r="F1109" s="3"/>
      <c r="G1109" s="3"/>
      <c r="N1109" s="3"/>
      <c r="Q1109" s="3"/>
      <c r="R1109" s="3"/>
      <c r="S1109" s="3"/>
      <c r="V1109" s="3"/>
      <c r="W1109" s="3"/>
      <c r="X1109" s="3"/>
      <c r="Y1109" s="3"/>
      <c r="Z1109" s="3"/>
      <c r="AA1109" s="3"/>
      <c r="AB1109" s="3"/>
    </row>
    <row r="1110" spans="1:28" x14ac:dyDescent="0.3">
      <c r="A1110" s="2"/>
      <c r="F1110" s="3"/>
      <c r="G1110" s="3"/>
      <c r="N1110" s="3"/>
      <c r="Q1110" s="3"/>
      <c r="R1110" s="3"/>
      <c r="S1110" s="3"/>
      <c r="V1110" s="3"/>
      <c r="W1110" s="3"/>
      <c r="X1110" s="3"/>
      <c r="Y1110" s="3"/>
      <c r="Z1110" s="3"/>
      <c r="AA1110" s="3"/>
      <c r="AB1110" s="3"/>
    </row>
    <row r="1111" spans="1:28" x14ac:dyDescent="0.3">
      <c r="A1111" s="2"/>
      <c r="F1111" s="3"/>
      <c r="G1111" s="3"/>
      <c r="N1111" s="3"/>
      <c r="Q1111" s="3"/>
      <c r="R1111" s="3"/>
      <c r="S1111" s="3"/>
      <c r="V1111" s="3"/>
      <c r="W1111" s="3"/>
      <c r="X1111" s="3"/>
      <c r="Y1111" s="3"/>
      <c r="Z1111" s="3"/>
      <c r="AA1111" s="3"/>
      <c r="AB1111" s="3"/>
    </row>
    <row r="1112" spans="1:28" x14ac:dyDescent="0.3">
      <c r="A1112" s="2"/>
      <c r="F1112" s="3"/>
      <c r="G1112" s="3"/>
      <c r="N1112" s="3"/>
      <c r="Q1112" s="3"/>
      <c r="R1112" s="3"/>
      <c r="S1112" s="3"/>
      <c r="V1112" s="3"/>
      <c r="W1112" s="3"/>
      <c r="X1112" s="3"/>
      <c r="Y1112" s="3"/>
      <c r="Z1112" s="3"/>
      <c r="AA1112" s="3"/>
      <c r="AB1112" s="3"/>
    </row>
    <row r="1113" spans="1:28" x14ac:dyDescent="0.3">
      <c r="A1113" s="2"/>
      <c r="F1113" s="3"/>
      <c r="G1113" s="3"/>
      <c r="N1113" s="3"/>
      <c r="Q1113" s="3"/>
      <c r="R1113" s="3"/>
      <c r="S1113" s="3"/>
      <c r="V1113" s="3"/>
      <c r="W1113" s="3"/>
      <c r="X1113" s="3"/>
      <c r="Y1113" s="3"/>
      <c r="Z1113" s="3"/>
      <c r="AA1113" s="3"/>
      <c r="AB1113" s="3"/>
    </row>
    <row r="1114" spans="1:28" x14ac:dyDescent="0.3">
      <c r="A1114" s="2"/>
      <c r="F1114" s="3"/>
      <c r="G1114" s="3"/>
      <c r="N1114" s="3"/>
      <c r="Q1114" s="3"/>
      <c r="R1114" s="3"/>
      <c r="S1114" s="3"/>
      <c r="V1114" s="3"/>
      <c r="W1114" s="3"/>
      <c r="X1114" s="3"/>
      <c r="Y1114" s="3"/>
      <c r="Z1114" s="3"/>
      <c r="AA1114" s="3"/>
      <c r="AB1114" s="3"/>
    </row>
    <row r="1115" spans="1:28" x14ac:dyDescent="0.3">
      <c r="A1115" s="2"/>
      <c r="F1115" s="3"/>
      <c r="G1115" s="3"/>
      <c r="N1115" s="3"/>
      <c r="Q1115" s="3"/>
      <c r="R1115" s="3"/>
      <c r="S1115" s="3"/>
      <c r="V1115" s="3"/>
      <c r="W1115" s="3"/>
      <c r="X1115" s="3"/>
      <c r="Y1115" s="3"/>
      <c r="Z1115" s="3"/>
      <c r="AA1115" s="3"/>
      <c r="AB1115" s="3"/>
    </row>
    <row r="1116" spans="1:28" x14ac:dyDescent="0.3">
      <c r="A1116" s="2"/>
      <c r="F1116" s="3"/>
      <c r="G1116" s="3"/>
      <c r="N1116" s="3"/>
      <c r="Q1116" s="3"/>
      <c r="R1116" s="3"/>
      <c r="S1116" s="3"/>
      <c r="V1116" s="3"/>
      <c r="W1116" s="3"/>
      <c r="X1116" s="3"/>
      <c r="Y1116" s="3"/>
      <c r="Z1116" s="3"/>
      <c r="AA1116" s="3"/>
      <c r="AB1116" s="3"/>
    </row>
    <row r="1117" spans="1:28" x14ac:dyDescent="0.3">
      <c r="A1117" s="2"/>
      <c r="F1117" s="3"/>
      <c r="G1117" s="3"/>
      <c r="N1117" s="3"/>
      <c r="Q1117" s="3"/>
      <c r="R1117" s="3"/>
      <c r="S1117" s="3"/>
      <c r="V1117" s="3"/>
      <c r="W1117" s="3"/>
      <c r="X1117" s="3"/>
      <c r="Y1117" s="3"/>
      <c r="Z1117" s="3"/>
      <c r="AA1117" s="3"/>
      <c r="AB1117" s="3"/>
    </row>
    <row r="1118" spans="1:28" x14ac:dyDescent="0.3">
      <c r="A1118" s="2"/>
      <c r="F1118" s="3"/>
      <c r="G1118" s="3"/>
      <c r="N1118" s="3"/>
      <c r="Q1118" s="3"/>
      <c r="R1118" s="3"/>
      <c r="S1118" s="3"/>
      <c r="V1118" s="3"/>
      <c r="W1118" s="3"/>
      <c r="X1118" s="3"/>
      <c r="Y1118" s="3"/>
      <c r="Z1118" s="3"/>
      <c r="AA1118" s="3"/>
      <c r="AB1118" s="3"/>
    </row>
    <row r="1119" spans="1:28" x14ac:dyDescent="0.3">
      <c r="A1119" s="2"/>
      <c r="F1119" s="3"/>
      <c r="G1119" s="3"/>
      <c r="N1119" s="3"/>
      <c r="Q1119" s="3"/>
      <c r="R1119" s="3"/>
      <c r="S1119" s="3"/>
      <c r="V1119" s="3"/>
      <c r="W1119" s="3"/>
      <c r="X1119" s="3"/>
      <c r="Y1119" s="3"/>
      <c r="Z1119" s="3"/>
      <c r="AA1119" s="3"/>
      <c r="AB1119" s="3"/>
    </row>
    <row r="1120" spans="1:28" x14ac:dyDescent="0.3">
      <c r="A1120" s="2"/>
      <c r="F1120" s="3"/>
      <c r="G1120" s="3"/>
      <c r="N1120" s="3"/>
      <c r="Q1120" s="3"/>
      <c r="R1120" s="3"/>
      <c r="S1120" s="3"/>
      <c r="V1120" s="3"/>
      <c r="W1120" s="3"/>
      <c r="X1120" s="3"/>
      <c r="Y1120" s="3"/>
      <c r="Z1120" s="3"/>
      <c r="AA1120" s="3"/>
      <c r="AB1120" s="3"/>
    </row>
    <row r="1121" spans="1:28" x14ac:dyDescent="0.3">
      <c r="A1121" s="2"/>
      <c r="F1121" s="3"/>
      <c r="G1121" s="3"/>
      <c r="N1121" s="3"/>
      <c r="Q1121" s="3"/>
      <c r="R1121" s="3"/>
      <c r="S1121" s="3"/>
      <c r="V1121" s="3"/>
      <c r="W1121" s="3"/>
      <c r="X1121" s="3"/>
      <c r="Y1121" s="3"/>
      <c r="Z1121" s="3"/>
      <c r="AA1121" s="3"/>
      <c r="AB1121" s="3"/>
    </row>
    <row r="1122" spans="1:28" x14ac:dyDescent="0.3">
      <c r="A1122" s="2"/>
      <c r="F1122" s="3"/>
      <c r="G1122" s="3"/>
      <c r="N1122" s="3"/>
      <c r="Q1122" s="3"/>
      <c r="R1122" s="3"/>
      <c r="S1122" s="3"/>
      <c r="V1122" s="3"/>
      <c r="W1122" s="3"/>
      <c r="X1122" s="3"/>
      <c r="Y1122" s="3"/>
      <c r="Z1122" s="3"/>
      <c r="AA1122" s="3"/>
      <c r="AB1122" s="3"/>
    </row>
    <row r="1123" spans="1:28" x14ac:dyDescent="0.3">
      <c r="A1123" s="2"/>
      <c r="F1123" s="3"/>
      <c r="G1123" s="3"/>
      <c r="N1123" s="3"/>
      <c r="Q1123" s="3"/>
      <c r="R1123" s="3"/>
      <c r="S1123" s="3"/>
      <c r="V1123" s="3"/>
      <c r="W1123" s="3"/>
      <c r="X1123" s="3"/>
      <c r="Y1123" s="3"/>
      <c r="Z1123" s="3"/>
      <c r="AA1123" s="3"/>
      <c r="AB1123" s="3"/>
    </row>
    <row r="1124" spans="1:28" x14ac:dyDescent="0.3">
      <c r="A1124" s="2"/>
      <c r="F1124" s="3"/>
      <c r="G1124" s="3"/>
      <c r="N1124" s="3"/>
      <c r="Q1124" s="3"/>
      <c r="R1124" s="3"/>
      <c r="S1124" s="3"/>
      <c r="V1124" s="3"/>
      <c r="W1124" s="3"/>
      <c r="X1124" s="3"/>
      <c r="Y1124" s="3"/>
      <c r="Z1124" s="3"/>
      <c r="AA1124" s="3"/>
      <c r="AB1124" s="3"/>
    </row>
    <row r="1125" spans="1:28" x14ac:dyDescent="0.3">
      <c r="A1125" s="2"/>
      <c r="F1125" s="3"/>
      <c r="G1125" s="3"/>
      <c r="N1125" s="3"/>
      <c r="Q1125" s="3"/>
      <c r="R1125" s="3"/>
      <c r="S1125" s="3"/>
      <c r="V1125" s="3"/>
      <c r="W1125" s="3"/>
      <c r="X1125" s="3"/>
      <c r="Y1125" s="3"/>
      <c r="Z1125" s="3"/>
      <c r="AA1125" s="3"/>
      <c r="AB1125" s="3"/>
    </row>
    <row r="1126" spans="1:28" x14ac:dyDescent="0.3">
      <c r="A1126" s="2"/>
      <c r="F1126" s="3"/>
      <c r="G1126" s="3"/>
      <c r="N1126" s="3"/>
      <c r="Q1126" s="3"/>
      <c r="R1126" s="3"/>
      <c r="S1126" s="3"/>
      <c r="V1126" s="3"/>
      <c r="W1126" s="3"/>
      <c r="X1126" s="3"/>
      <c r="Y1126" s="3"/>
      <c r="Z1126" s="3"/>
      <c r="AA1126" s="3"/>
      <c r="AB1126" s="3"/>
    </row>
    <row r="1127" spans="1:28" x14ac:dyDescent="0.3">
      <c r="A1127" s="2"/>
      <c r="F1127" s="3"/>
      <c r="G1127" s="3"/>
      <c r="N1127" s="3"/>
      <c r="Q1127" s="3"/>
      <c r="R1127" s="3"/>
      <c r="S1127" s="3"/>
      <c r="V1127" s="3"/>
      <c r="W1127" s="3"/>
      <c r="X1127" s="3"/>
      <c r="Y1127" s="3"/>
      <c r="Z1127" s="3"/>
      <c r="AA1127" s="3"/>
      <c r="AB1127" s="3"/>
    </row>
    <row r="1128" spans="1:28" x14ac:dyDescent="0.3">
      <c r="A1128" s="2"/>
      <c r="F1128" s="3"/>
      <c r="G1128" s="3"/>
      <c r="N1128" s="3"/>
      <c r="Q1128" s="3"/>
      <c r="R1128" s="3"/>
      <c r="S1128" s="3"/>
      <c r="V1128" s="3"/>
      <c r="W1128" s="3"/>
      <c r="X1128" s="3"/>
      <c r="Y1128" s="3"/>
      <c r="Z1128" s="3"/>
      <c r="AA1128" s="3"/>
      <c r="AB1128" s="3"/>
    </row>
    <row r="1129" spans="1:28" x14ac:dyDescent="0.3">
      <c r="A1129" s="2"/>
      <c r="F1129" s="3"/>
      <c r="G1129" s="3"/>
      <c r="N1129" s="3"/>
      <c r="Q1129" s="3"/>
      <c r="R1129" s="3"/>
      <c r="S1129" s="3"/>
      <c r="V1129" s="3"/>
      <c r="W1129" s="3"/>
      <c r="X1129" s="3"/>
      <c r="Y1129" s="3"/>
      <c r="Z1129" s="3"/>
      <c r="AA1129" s="3"/>
      <c r="AB1129" s="3"/>
    </row>
    <row r="1130" spans="1:28" x14ac:dyDescent="0.3">
      <c r="A1130" s="2"/>
      <c r="F1130" s="3"/>
      <c r="G1130" s="3"/>
      <c r="N1130" s="3"/>
      <c r="Q1130" s="3"/>
      <c r="R1130" s="3"/>
      <c r="S1130" s="3"/>
      <c r="V1130" s="3"/>
      <c r="W1130" s="3"/>
      <c r="X1130" s="3"/>
      <c r="Y1130" s="3"/>
      <c r="Z1130" s="3"/>
      <c r="AA1130" s="3"/>
      <c r="AB1130" s="3"/>
    </row>
    <row r="1131" spans="1:28" x14ac:dyDescent="0.3">
      <c r="A1131" s="2"/>
      <c r="F1131" s="3"/>
      <c r="G1131" s="3"/>
      <c r="N1131" s="3"/>
      <c r="Q1131" s="3"/>
      <c r="R1131" s="3"/>
      <c r="S1131" s="3"/>
      <c r="V1131" s="3"/>
      <c r="W1131" s="3"/>
      <c r="X1131" s="3"/>
      <c r="Y1131" s="3"/>
      <c r="Z1131" s="3"/>
      <c r="AA1131" s="3"/>
      <c r="AB1131" s="3"/>
    </row>
    <row r="1132" spans="1:28" x14ac:dyDescent="0.3">
      <c r="A1132" s="2"/>
      <c r="F1132" s="3"/>
      <c r="G1132" s="3"/>
      <c r="N1132" s="3"/>
      <c r="Q1132" s="3"/>
      <c r="R1132" s="3"/>
      <c r="S1132" s="3"/>
      <c r="V1132" s="3"/>
      <c r="W1132" s="3"/>
      <c r="X1132" s="3"/>
      <c r="Y1132" s="3"/>
      <c r="Z1132" s="3"/>
      <c r="AA1132" s="3"/>
      <c r="AB1132" s="3"/>
    </row>
    <row r="1133" spans="1:28" x14ac:dyDescent="0.3">
      <c r="A1133" s="2"/>
      <c r="F1133" s="3"/>
      <c r="G1133" s="3"/>
      <c r="N1133" s="3"/>
      <c r="Q1133" s="3"/>
      <c r="R1133" s="3"/>
      <c r="S1133" s="3"/>
      <c r="V1133" s="3"/>
      <c r="W1133" s="3"/>
      <c r="X1133" s="3"/>
      <c r="Y1133" s="3"/>
      <c r="Z1133" s="3"/>
      <c r="AA1133" s="3"/>
      <c r="AB1133" s="3"/>
    </row>
    <row r="1134" spans="1:28" x14ac:dyDescent="0.3">
      <c r="A1134" s="2"/>
      <c r="F1134" s="3"/>
      <c r="G1134" s="3"/>
      <c r="N1134" s="3"/>
      <c r="Q1134" s="3"/>
      <c r="R1134" s="3"/>
      <c r="S1134" s="3"/>
      <c r="V1134" s="3"/>
      <c r="W1134" s="3"/>
      <c r="X1134" s="3"/>
      <c r="Y1134" s="3"/>
      <c r="Z1134" s="3"/>
      <c r="AA1134" s="3"/>
      <c r="AB1134" s="3"/>
    </row>
    <row r="1135" spans="1:28" x14ac:dyDescent="0.3">
      <c r="A1135" s="2"/>
      <c r="F1135" s="3"/>
      <c r="G1135" s="3"/>
      <c r="N1135" s="3"/>
      <c r="Q1135" s="3"/>
      <c r="R1135" s="3"/>
      <c r="S1135" s="3"/>
      <c r="V1135" s="3"/>
      <c r="W1135" s="3"/>
      <c r="X1135" s="3"/>
      <c r="Y1135" s="3"/>
      <c r="Z1135" s="3"/>
      <c r="AA1135" s="3"/>
      <c r="AB1135" s="3"/>
    </row>
    <row r="1136" spans="1:28" x14ac:dyDescent="0.3">
      <c r="A1136" s="2"/>
      <c r="F1136" s="3"/>
      <c r="G1136" s="3"/>
      <c r="N1136" s="3"/>
      <c r="Q1136" s="3"/>
      <c r="R1136" s="3"/>
      <c r="S1136" s="3"/>
      <c r="V1136" s="3"/>
      <c r="W1136" s="3"/>
      <c r="X1136" s="3"/>
      <c r="Y1136" s="3"/>
      <c r="Z1136" s="3"/>
      <c r="AA1136" s="3"/>
      <c r="AB1136" s="3"/>
    </row>
    <row r="1137" spans="1:28" x14ac:dyDescent="0.3">
      <c r="A1137" s="2"/>
      <c r="F1137" s="3"/>
      <c r="G1137" s="3"/>
      <c r="N1137" s="3"/>
      <c r="Q1137" s="3"/>
      <c r="R1137" s="3"/>
      <c r="S1137" s="3"/>
      <c r="V1137" s="3"/>
      <c r="W1137" s="3"/>
      <c r="X1137" s="3"/>
      <c r="Y1137" s="3"/>
      <c r="Z1137" s="3"/>
      <c r="AA1137" s="3"/>
      <c r="AB1137" s="3"/>
    </row>
    <row r="1138" spans="1:28" x14ac:dyDescent="0.3">
      <c r="A1138" s="2"/>
      <c r="F1138" s="3"/>
      <c r="G1138" s="3"/>
      <c r="N1138" s="3"/>
      <c r="Q1138" s="3"/>
      <c r="R1138" s="3"/>
      <c r="S1138" s="3"/>
      <c r="V1138" s="3"/>
      <c r="W1138" s="3"/>
      <c r="X1138" s="3"/>
      <c r="Y1138" s="3"/>
      <c r="Z1138" s="3"/>
      <c r="AA1138" s="3"/>
      <c r="AB1138" s="3"/>
    </row>
    <row r="1139" spans="1:28" x14ac:dyDescent="0.3">
      <c r="A1139" s="2"/>
      <c r="F1139" s="3"/>
      <c r="G1139" s="3"/>
      <c r="N1139" s="3"/>
      <c r="Q1139" s="3"/>
      <c r="R1139" s="3"/>
      <c r="S1139" s="3"/>
      <c r="V1139" s="3"/>
      <c r="W1139" s="3"/>
      <c r="X1139" s="3"/>
      <c r="Y1139" s="3"/>
      <c r="Z1139" s="3"/>
      <c r="AA1139" s="3"/>
      <c r="AB1139" s="3"/>
    </row>
    <row r="1140" spans="1:28" x14ac:dyDescent="0.3">
      <c r="A1140" s="2"/>
      <c r="F1140" s="3"/>
      <c r="G1140" s="3"/>
      <c r="N1140" s="3"/>
      <c r="Q1140" s="3"/>
      <c r="R1140" s="3"/>
      <c r="S1140" s="3"/>
      <c r="V1140" s="3"/>
      <c r="W1140" s="3"/>
      <c r="X1140" s="3"/>
      <c r="Y1140" s="3"/>
      <c r="Z1140" s="3"/>
      <c r="AA1140" s="3"/>
      <c r="AB1140" s="3"/>
    </row>
    <row r="1141" spans="1:28" x14ac:dyDescent="0.3">
      <c r="A1141" s="2"/>
      <c r="F1141" s="3"/>
      <c r="G1141" s="3"/>
      <c r="N1141" s="3"/>
      <c r="Q1141" s="3"/>
      <c r="R1141" s="3"/>
      <c r="S1141" s="3"/>
      <c r="V1141" s="3"/>
      <c r="W1141" s="3"/>
      <c r="X1141" s="3"/>
      <c r="Y1141" s="3"/>
      <c r="Z1141" s="3"/>
      <c r="AA1141" s="3"/>
      <c r="AB1141" s="3"/>
    </row>
    <row r="1142" spans="1:28" x14ac:dyDescent="0.3">
      <c r="A1142" s="2"/>
      <c r="F1142" s="3"/>
      <c r="G1142" s="3"/>
      <c r="N1142" s="3"/>
      <c r="Q1142" s="3"/>
      <c r="R1142" s="3"/>
      <c r="S1142" s="3"/>
      <c r="V1142" s="3"/>
      <c r="W1142" s="3"/>
      <c r="X1142" s="3"/>
      <c r="Y1142" s="3"/>
      <c r="Z1142" s="3"/>
      <c r="AA1142" s="3"/>
      <c r="AB1142" s="3"/>
    </row>
    <row r="1143" spans="1:28" x14ac:dyDescent="0.3">
      <c r="A1143" s="2"/>
      <c r="F1143" s="3"/>
      <c r="G1143" s="3"/>
      <c r="N1143" s="3"/>
      <c r="Q1143" s="3"/>
      <c r="R1143" s="3"/>
      <c r="S1143" s="3"/>
      <c r="V1143" s="3"/>
      <c r="W1143" s="3"/>
      <c r="X1143" s="3"/>
      <c r="Y1143" s="3"/>
      <c r="Z1143" s="3"/>
      <c r="AA1143" s="3"/>
      <c r="AB1143" s="3"/>
    </row>
    <row r="1144" spans="1:28" x14ac:dyDescent="0.3">
      <c r="A1144" s="2"/>
      <c r="F1144" s="3"/>
      <c r="G1144" s="3"/>
      <c r="N1144" s="3"/>
      <c r="Q1144" s="3"/>
      <c r="R1144" s="3"/>
      <c r="S1144" s="3"/>
      <c r="V1144" s="3"/>
      <c r="W1144" s="3"/>
      <c r="X1144" s="3"/>
      <c r="Y1144" s="3"/>
      <c r="Z1144" s="3"/>
      <c r="AA1144" s="3"/>
      <c r="AB1144" s="3"/>
    </row>
    <row r="1145" spans="1:28" x14ac:dyDescent="0.3">
      <c r="A1145" s="2"/>
      <c r="F1145" s="3"/>
      <c r="G1145" s="3"/>
      <c r="N1145" s="3"/>
      <c r="Q1145" s="3"/>
      <c r="R1145" s="3"/>
      <c r="S1145" s="3"/>
      <c r="V1145" s="3"/>
      <c r="W1145" s="3"/>
      <c r="X1145" s="3"/>
      <c r="Y1145" s="3"/>
      <c r="Z1145" s="3"/>
      <c r="AA1145" s="3"/>
      <c r="AB1145" s="3"/>
    </row>
    <row r="1146" spans="1:28" x14ac:dyDescent="0.3">
      <c r="A1146" s="2"/>
      <c r="F1146" s="3"/>
      <c r="G1146" s="3"/>
      <c r="N1146" s="3"/>
      <c r="Q1146" s="3"/>
      <c r="R1146" s="3"/>
      <c r="S1146" s="3"/>
      <c r="V1146" s="3"/>
      <c r="W1146" s="3"/>
      <c r="X1146" s="3"/>
      <c r="Y1146" s="3"/>
      <c r="Z1146" s="3"/>
      <c r="AA1146" s="3"/>
      <c r="AB1146" s="3"/>
    </row>
    <row r="1147" spans="1:28" x14ac:dyDescent="0.3">
      <c r="A1147" s="2"/>
      <c r="F1147" s="3"/>
      <c r="G1147" s="3"/>
      <c r="N1147" s="3"/>
      <c r="Q1147" s="3"/>
      <c r="R1147" s="3"/>
      <c r="S1147" s="3"/>
      <c r="V1147" s="3"/>
      <c r="W1147" s="3"/>
      <c r="X1147" s="3"/>
      <c r="Y1147" s="3"/>
      <c r="Z1147" s="3"/>
      <c r="AA1147" s="3"/>
      <c r="AB1147" s="3"/>
    </row>
    <row r="1148" spans="1:28" x14ac:dyDescent="0.3">
      <c r="A1148" s="2"/>
      <c r="F1148" s="3"/>
      <c r="G1148" s="3"/>
      <c r="N1148" s="3"/>
      <c r="Q1148" s="3"/>
      <c r="R1148" s="3"/>
      <c r="S1148" s="3"/>
      <c r="V1148" s="3"/>
      <c r="W1148" s="3"/>
      <c r="X1148" s="3"/>
      <c r="Y1148" s="3"/>
      <c r="Z1148" s="3"/>
      <c r="AA1148" s="3"/>
      <c r="AB1148" s="3"/>
    </row>
    <row r="1149" spans="1:28" x14ac:dyDescent="0.3">
      <c r="A1149" s="2"/>
      <c r="F1149" s="3"/>
      <c r="G1149" s="3"/>
      <c r="N1149" s="3"/>
      <c r="Q1149" s="3"/>
      <c r="R1149" s="3"/>
      <c r="S1149" s="3"/>
      <c r="V1149" s="3"/>
      <c r="W1149" s="3"/>
      <c r="X1149" s="3"/>
      <c r="Y1149" s="3"/>
      <c r="Z1149" s="3"/>
      <c r="AA1149" s="3"/>
      <c r="AB1149" s="3"/>
    </row>
    <row r="1150" spans="1:28" x14ac:dyDescent="0.3">
      <c r="A1150" s="2"/>
      <c r="F1150" s="3"/>
      <c r="G1150" s="3"/>
      <c r="N1150" s="3"/>
      <c r="Q1150" s="3"/>
      <c r="R1150" s="3"/>
      <c r="S1150" s="3"/>
      <c r="V1150" s="3"/>
      <c r="W1150" s="3"/>
      <c r="X1150" s="3"/>
      <c r="Y1150" s="3"/>
      <c r="Z1150" s="3"/>
      <c r="AA1150" s="3"/>
      <c r="AB1150" s="3"/>
    </row>
    <row r="1151" spans="1:28" x14ac:dyDescent="0.3">
      <c r="A1151" s="2"/>
      <c r="F1151" s="3"/>
      <c r="G1151" s="3"/>
      <c r="N1151" s="3"/>
      <c r="Q1151" s="3"/>
      <c r="R1151" s="3"/>
      <c r="S1151" s="3"/>
      <c r="V1151" s="3"/>
      <c r="W1151" s="3"/>
      <c r="X1151" s="3"/>
      <c r="Y1151" s="3"/>
      <c r="Z1151" s="3"/>
      <c r="AA1151" s="3"/>
      <c r="AB1151" s="3"/>
    </row>
    <row r="1152" spans="1:28" x14ac:dyDescent="0.3">
      <c r="A1152" s="2"/>
      <c r="F1152" s="3"/>
      <c r="G1152" s="3"/>
      <c r="N1152" s="3"/>
      <c r="Q1152" s="3"/>
      <c r="R1152" s="3"/>
      <c r="S1152" s="3"/>
      <c r="V1152" s="3"/>
      <c r="W1152" s="3"/>
      <c r="X1152" s="3"/>
      <c r="Y1152" s="3"/>
      <c r="Z1152" s="3"/>
      <c r="AA1152" s="3"/>
      <c r="AB1152" s="3"/>
    </row>
    <row r="1153" spans="1:28" x14ac:dyDescent="0.3">
      <c r="A1153" s="2"/>
      <c r="F1153" s="3"/>
      <c r="G1153" s="3"/>
      <c r="N1153" s="3"/>
      <c r="Q1153" s="3"/>
      <c r="R1153" s="3"/>
      <c r="S1153" s="3"/>
      <c r="V1153" s="3"/>
      <c r="W1153" s="3"/>
      <c r="X1153" s="3"/>
      <c r="Y1153" s="3"/>
      <c r="Z1153" s="3"/>
      <c r="AA1153" s="3"/>
      <c r="AB1153" s="3"/>
    </row>
    <row r="1154" spans="1:28" x14ac:dyDescent="0.3">
      <c r="A1154" s="2"/>
      <c r="F1154" s="3"/>
      <c r="G1154" s="3"/>
      <c r="N1154" s="3"/>
      <c r="Q1154" s="3"/>
      <c r="R1154" s="3"/>
      <c r="S1154" s="3"/>
      <c r="V1154" s="3"/>
      <c r="W1154" s="3"/>
      <c r="X1154" s="3"/>
      <c r="Y1154" s="3"/>
      <c r="Z1154" s="3"/>
      <c r="AA1154" s="3"/>
      <c r="AB1154" s="3"/>
    </row>
    <row r="1155" spans="1:28" x14ac:dyDescent="0.3">
      <c r="A1155" s="2"/>
      <c r="F1155" s="3"/>
      <c r="G1155" s="3"/>
      <c r="N1155" s="3"/>
      <c r="Q1155" s="3"/>
      <c r="R1155" s="3"/>
      <c r="S1155" s="3"/>
      <c r="V1155" s="3"/>
      <c r="W1155" s="3"/>
      <c r="X1155" s="3"/>
      <c r="Y1155" s="3"/>
      <c r="Z1155" s="3"/>
      <c r="AA1155" s="3"/>
      <c r="AB1155" s="3"/>
    </row>
    <row r="1156" spans="1:28" x14ac:dyDescent="0.3">
      <c r="A1156" s="2"/>
      <c r="F1156" s="3"/>
      <c r="G1156" s="3"/>
      <c r="N1156" s="3"/>
      <c r="Q1156" s="3"/>
      <c r="R1156" s="3"/>
      <c r="S1156" s="3"/>
      <c r="V1156" s="3"/>
      <c r="W1156" s="3"/>
      <c r="X1156" s="3"/>
      <c r="Y1156" s="3"/>
      <c r="Z1156" s="3"/>
      <c r="AA1156" s="3"/>
      <c r="AB1156" s="3"/>
    </row>
    <row r="1157" spans="1:28" x14ac:dyDescent="0.3">
      <c r="A1157" s="2"/>
      <c r="F1157" s="3"/>
      <c r="G1157" s="3"/>
      <c r="N1157" s="3"/>
      <c r="Q1157" s="3"/>
      <c r="R1157" s="3"/>
      <c r="S1157" s="3"/>
      <c r="V1157" s="3"/>
      <c r="W1157" s="3"/>
      <c r="X1157" s="3"/>
      <c r="Y1157" s="3"/>
      <c r="Z1157" s="3"/>
      <c r="AA1157" s="3"/>
      <c r="AB1157" s="3"/>
    </row>
    <row r="1158" spans="1:28" x14ac:dyDescent="0.3">
      <c r="A1158" s="2"/>
      <c r="F1158" s="3"/>
      <c r="G1158" s="3"/>
      <c r="N1158" s="3"/>
      <c r="Q1158" s="3"/>
      <c r="R1158" s="3"/>
      <c r="S1158" s="3"/>
      <c r="V1158" s="3"/>
      <c r="W1158" s="3"/>
      <c r="X1158" s="3"/>
      <c r="Y1158" s="3"/>
      <c r="Z1158" s="3"/>
      <c r="AA1158" s="3"/>
      <c r="AB1158" s="3"/>
    </row>
    <row r="1159" spans="1:28" x14ac:dyDescent="0.3">
      <c r="A1159" s="2"/>
      <c r="F1159" s="3"/>
      <c r="G1159" s="3"/>
      <c r="N1159" s="3"/>
      <c r="Q1159" s="3"/>
      <c r="R1159" s="3"/>
      <c r="S1159" s="3"/>
      <c r="V1159" s="3"/>
      <c r="W1159" s="3"/>
      <c r="X1159" s="3"/>
      <c r="Y1159" s="3"/>
      <c r="Z1159" s="3"/>
      <c r="AA1159" s="3"/>
      <c r="AB1159" s="3"/>
    </row>
    <row r="1160" spans="1:28" x14ac:dyDescent="0.3">
      <c r="A1160" s="2"/>
      <c r="F1160" s="3"/>
      <c r="G1160" s="3"/>
      <c r="N1160" s="3"/>
      <c r="Q1160" s="3"/>
      <c r="R1160" s="3"/>
      <c r="S1160" s="3"/>
      <c r="V1160" s="3"/>
      <c r="W1160" s="3"/>
      <c r="X1160" s="3"/>
      <c r="Y1160" s="3"/>
      <c r="Z1160" s="3"/>
      <c r="AA1160" s="3"/>
      <c r="AB1160" s="3"/>
    </row>
    <row r="1161" spans="1:28" x14ac:dyDescent="0.3">
      <c r="A1161" s="2"/>
      <c r="F1161" s="3"/>
      <c r="G1161" s="3"/>
      <c r="N1161" s="3"/>
      <c r="Q1161" s="3"/>
      <c r="R1161" s="3"/>
      <c r="S1161" s="3"/>
      <c r="V1161" s="3"/>
      <c r="W1161" s="3"/>
      <c r="X1161" s="3"/>
      <c r="Y1161" s="3"/>
      <c r="Z1161" s="3"/>
      <c r="AA1161" s="3"/>
      <c r="AB1161" s="3"/>
    </row>
    <row r="1162" spans="1:28" x14ac:dyDescent="0.3">
      <c r="A1162" s="2"/>
      <c r="F1162" s="3"/>
      <c r="G1162" s="3"/>
      <c r="N1162" s="3"/>
      <c r="Q1162" s="3"/>
      <c r="R1162" s="3"/>
      <c r="S1162" s="3"/>
      <c r="V1162" s="3"/>
      <c r="W1162" s="3"/>
      <c r="X1162" s="3"/>
      <c r="Y1162" s="3"/>
      <c r="Z1162" s="3"/>
      <c r="AA1162" s="3"/>
      <c r="AB1162" s="3"/>
    </row>
    <row r="1163" spans="1:28" x14ac:dyDescent="0.3">
      <c r="A1163" s="2"/>
      <c r="F1163" s="3"/>
      <c r="G1163" s="3"/>
      <c r="N1163" s="3"/>
      <c r="Q1163" s="3"/>
      <c r="R1163" s="3"/>
      <c r="S1163" s="3"/>
      <c r="V1163" s="3"/>
      <c r="W1163" s="3"/>
      <c r="X1163" s="3"/>
      <c r="Y1163" s="3"/>
      <c r="Z1163" s="3"/>
      <c r="AA1163" s="3"/>
      <c r="AB1163" s="3"/>
    </row>
    <row r="1164" spans="1:28" x14ac:dyDescent="0.3">
      <c r="A1164" s="2"/>
      <c r="F1164" s="3"/>
      <c r="G1164" s="3"/>
      <c r="N1164" s="3"/>
      <c r="Q1164" s="3"/>
      <c r="R1164" s="3"/>
      <c r="S1164" s="3"/>
      <c r="V1164" s="3"/>
      <c r="W1164" s="3"/>
      <c r="X1164" s="3"/>
      <c r="Y1164" s="3"/>
      <c r="Z1164" s="3"/>
      <c r="AA1164" s="3"/>
      <c r="AB1164" s="3"/>
    </row>
    <row r="1165" spans="1:28" x14ac:dyDescent="0.3">
      <c r="A1165" s="2"/>
      <c r="F1165" s="3"/>
      <c r="G1165" s="3"/>
      <c r="N1165" s="3"/>
      <c r="Q1165" s="3"/>
      <c r="R1165" s="3"/>
      <c r="S1165" s="3"/>
      <c r="V1165" s="3"/>
      <c r="W1165" s="3"/>
      <c r="X1165" s="3"/>
      <c r="Y1165" s="3"/>
      <c r="Z1165" s="3"/>
      <c r="AA1165" s="3"/>
      <c r="AB1165" s="3"/>
    </row>
    <row r="1166" spans="1:28" x14ac:dyDescent="0.3">
      <c r="A1166" s="2"/>
      <c r="F1166" s="3"/>
      <c r="G1166" s="3"/>
      <c r="N1166" s="3"/>
      <c r="Q1166" s="3"/>
      <c r="R1166" s="3"/>
      <c r="S1166" s="3"/>
      <c r="V1166" s="3"/>
      <c r="W1166" s="3"/>
      <c r="X1166" s="3"/>
      <c r="Y1166" s="3"/>
      <c r="Z1166" s="3"/>
      <c r="AA1166" s="3"/>
      <c r="AB1166" s="3"/>
    </row>
    <row r="1167" spans="1:28" x14ac:dyDescent="0.3">
      <c r="A1167" s="2"/>
      <c r="F1167" s="3"/>
      <c r="G1167" s="3"/>
      <c r="N1167" s="3"/>
      <c r="Q1167" s="3"/>
      <c r="R1167" s="3"/>
      <c r="S1167" s="3"/>
      <c r="V1167" s="3"/>
      <c r="W1167" s="3"/>
      <c r="X1167" s="3"/>
      <c r="Y1167" s="3"/>
      <c r="Z1167" s="3"/>
      <c r="AA1167" s="3"/>
      <c r="AB1167" s="3"/>
    </row>
    <row r="1168" spans="1:28" x14ac:dyDescent="0.3">
      <c r="A1168" s="2"/>
      <c r="F1168" s="3"/>
      <c r="G1168" s="3"/>
      <c r="N1168" s="3"/>
      <c r="Q1168" s="3"/>
      <c r="R1168" s="3"/>
      <c r="S1168" s="3"/>
      <c r="V1168" s="3"/>
      <c r="W1168" s="3"/>
      <c r="X1168" s="3"/>
      <c r="Y1168" s="3"/>
      <c r="Z1168" s="3"/>
      <c r="AA1168" s="3"/>
      <c r="AB1168" s="3"/>
    </row>
    <row r="1169" spans="1:28" x14ac:dyDescent="0.3">
      <c r="A1169" s="2"/>
      <c r="F1169" s="3"/>
      <c r="G1169" s="3"/>
      <c r="N1169" s="3"/>
      <c r="Q1169" s="3"/>
      <c r="R1169" s="3"/>
      <c r="S1169" s="3"/>
      <c r="V1169" s="3"/>
      <c r="W1169" s="3"/>
      <c r="X1169" s="3"/>
      <c r="Y1169" s="3"/>
      <c r="Z1169" s="3"/>
      <c r="AA1169" s="3"/>
      <c r="AB1169" s="3"/>
    </row>
    <row r="1170" spans="1:28" x14ac:dyDescent="0.3">
      <c r="A1170" s="2"/>
      <c r="F1170" s="3"/>
      <c r="G1170" s="3"/>
      <c r="N1170" s="3"/>
      <c r="Q1170" s="3"/>
      <c r="R1170" s="3"/>
      <c r="S1170" s="3"/>
      <c r="V1170" s="3"/>
      <c r="W1170" s="3"/>
      <c r="X1170" s="3"/>
      <c r="Y1170" s="3"/>
      <c r="Z1170" s="3"/>
      <c r="AA1170" s="3"/>
      <c r="AB1170" s="3"/>
    </row>
    <row r="1171" spans="1:28" x14ac:dyDescent="0.3">
      <c r="A1171" s="2"/>
      <c r="F1171" s="3"/>
      <c r="G1171" s="3"/>
      <c r="N1171" s="3"/>
      <c r="Q1171" s="3"/>
      <c r="R1171" s="3"/>
      <c r="S1171" s="3"/>
      <c r="V1171" s="3"/>
      <c r="W1171" s="3"/>
      <c r="X1171" s="3"/>
      <c r="Y1171" s="3"/>
      <c r="Z1171" s="3"/>
      <c r="AA1171" s="3"/>
      <c r="AB1171" s="3"/>
    </row>
    <row r="1172" spans="1:28" x14ac:dyDescent="0.3">
      <c r="A1172" s="2"/>
      <c r="F1172" s="3"/>
      <c r="G1172" s="3"/>
      <c r="N1172" s="3"/>
      <c r="Q1172" s="3"/>
      <c r="R1172" s="3"/>
      <c r="S1172" s="3"/>
      <c r="V1172" s="3"/>
      <c r="W1172" s="3"/>
      <c r="X1172" s="3"/>
      <c r="Y1172" s="3"/>
      <c r="Z1172" s="3"/>
      <c r="AA1172" s="3"/>
      <c r="AB1172" s="3"/>
    </row>
    <row r="1173" spans="1:28" x14ac:dyDescent="0.3">
      <c r="A1173" s="2"/>
      <c r="F1173" s="3"/>
      <c r="G1173" s="3"/>
      <c r="N1173" s="3"/>
      <c r="Q1173" s="3"/>
      <c r="R1173" s="3"/>
      <c r="S1173" s="3"/>
      <c r="V1173" s="3"/>
      <c r="W1173" s="3"/>
      <c r="X1173" s="3"/>
      <c r="Y1173" s="3"/>
      <c r="Z1173" s="3"/>
      <c r="AA1173" s="3"/>
      <c r="AB1173" s="3"/>
    </row>
    <row r="1174" spans="1:28" x14ac:dyDescent="0.3">
      <c r="A1174" s="2"/>
      <c r="F1174" s="3"/>
      <c r="G1174" s="3"/>
      <c r="N1174" s="3"/>
      <c r="Q1174" s="3"/>
      <c r="R1174" s="3"/>
      <c r="S1174" s="3"/>
      <c r="V1174" s="3"/>
      <c r="W1174" s="3"/>
      <c r="X1174" s="3"/>
      <c r="Y1174" s="3"/>
      <c r="Z1174" s="3"/>
      <c r="AA1174" s="3"/>
      <c r="AB1174" s="3"/>
    </row>
    <row r="1175" spans="1:28" x14ac:dyDescent="0.3">
      <c r="A1175" s="2"/>
      <c r="F1175" s="3"/>
      <c r="G1175" s="3"/>
      <c r="N1175" s="3"/>
      <c r="Q1175" s="3"/>
      <c r="R1175" s="3"/>
      <c r="S1175" s="3"/>
      <c r="V1175" s="3"/>
      <c r="W1175" s="3"/>
      <c r="X1175" s="3"/>
      <c r="Y1175" s="3"/>
      <c r="Z1175" s="3"/>
      <c r="AA1175" s="3"/>
      <c r="AB1175" s="3"/>
    </row>
    <row r="1176" spans="1:28" x14ac:dyDescent="0.3">
      <c r="A1176" s="2"/>
      <c r="F1176" s="3"/>
      <c r="G1176" s="3"/>
      <c r="N1176" s="3"/>
      <c r="Q1176" s="3"/>
      <c r="R1176" s="3"/>
      <c r="S1176" s="3"/>
      <c r="V1176" s="3"/>
      <c r="W1176" s="3"/>
      <c r="X1176" s="3"/>
      <c r="Y1176" s="3"/>
      <c r="Z1176" s="3"/>
      <c r="AA1176" s="3"/>
      <c r="AB1176" s="3"/>
    </row>
    <row r="1177" spans="1:28" x14ac:dyDescent="0.3">
      <c r="A1177" s="2"/>
      <c r="F1177" s="3"/>
      <c r="G1177" s="3"/>
      <c r="N1177" s="3"/>
      <c r="Q1177" s="3"/>
      <c r="R1177" s="3"/>
      <c r="S1177" s="3"/>
      <c r="V1177" s="3"/>
      <c r="W1177" s="3"/>
      <c r="X1177" s="3"/>
      <c r="Y1177" s="3"/>
      <c r="Z1177" s="3"/>
      <c r="AA1177" s="3"/>
      <c r="AB1177" s="3"/>
    </row>
    <row r="1178" spans="1:28" x14ac:dyDescent="0.3">
      <c r="A1178" s="2"/>
      <c r="F1178" s="3"/>
      <c r="G1178" s="3"/>
      <c r="N1178" s="3"/>
      <c r="Q1178" s="3"/>
      <c r="R1178" s="3"/>
      <c r="S1178" s="3"/>
      <c r="V1178" s="3"/>
      <c r="W1178" s="3"/>
      <c r="X1178" s="3"/>
      <c r="Y1178" s="3"/>
      <c r="Z1178" s="3"/>
      <c r="AA1178" s="3"/>
      <c r="AB1178" s="3"/>
    </row>
    <row r="1179" spans="1:28" x14ac:dyDescent="0.3">
      <c r="A1179" s="2"/>
      <c r="F1179" s="3"/>
      <c r="G1179" s="3"/>
      <c r="N1179" s="3"/>
      <c r="Q1179" s="3"/>
      <c r="R1179" s="3"/>
      <c r="S1179" s="3"/>
      <c r="V1179" s="3"/>
      <c r="W1179" s="3"/>
      <c r="X1179" s="3"/>
      <c r="Y1179" s="3"/>
      <c r="Z1179" s="3"/>
      <c r="AA1179" s="3"/>
      <c r="AB1179" s="3"/>
    </row>
    <row r="1180" spans="1:28" x14ac:dyDescent="0.3">
      <c r="A1180" s="2"/>
      <c r="F1180" s="3"/>
      <c r="G1180" s="3"/>
      <c r="N1180" s="3"/>
      <c r="Q1180" s="3"/>
      <c r="R1180" s="3"/>
      <c r="S1180" s="3"/>
      <c r="V1180" s="3"/>
      <c r="W1180" s="3"/>
      <c r="X1180" s="3"/>
      <c r="Y1180" s="3"/>
      <c r="Z1180" s="3"/>
      <c r="AA1180" s="3"/>
      <c r="AB1180" s="3"/>
    </row>
    <row r="1181" spans="1:28" x14ac:dyDescent="0.3">
      <c r="A1181" s="2"/>
      <c r="F1181" s="3"/>
      <c r="G1181" s="3"/>
      <c r="N1181" s="3"/>
      <c r="Q1181" s="3"/>
      <c r="R1181" s="3"/>
      <c r="S1181" s="3"/>
      <c r="V1181" s="3"/>
      <c r="W1181" s="3"/>
      <c r="X1181" s="3"/>
      <c r="Y1181" s="3"/>
      <c r="Z1181" s="3"/>
      <c r="AA1181" s="3"/>
      <c r="AB1181" s="3"/>
    </row>
    <row r="1182" spans="1:28" x14ac:dyDescent="0.3">
      <c r="A1182" s="2"/>
      <c r="F1182" s="3"/>
      <c r="G1182" s="3"/>
      <c r="N1182" s="3"/>
      <c r="Q1182" s="3"/>
      <c r="R1182" s="3"/>
      <c r="S1182" s="3"/>
      <c r="V1182" s="3"/>
      <c r="W1182" s="3"/>
      <c r="X1182" s="3"/>
      <c r="Y1182" s="3"/>
      <c r="Z1182" s="3"/>
      <c r="AA1182" s="3"/>
      <c r="AB1182" s="3"/>
    </row>
    <row r="1183" spans="1:28" x14ac:dyDescent="0.3">
      <c r="A1183" s="2"/>
      <c r="F1183" s="3"/>
      <c r="G1183" s="3"/>
      <c r="N1183" s="3"/>
      <c r="Q1183" s="3"/>
      <c r="R1183" s="3"/>
      <c r="S1183" s="3"/>
      <c r="V1183" s="3"/>
      <c r="W1183" s="3"/>
      <c r="X1183" s="3"/>
      <c r="Y1183" s="3"/>
      <c r="Z1183" s="3"/>
      <c r="AA1183" s="3"/>
      <c r="AB1183" s="3"/>
    </row>
    <row r="1184" spans="1:28" x14ac:dyDescent="0.3">
      <c r="A1184" s="2"/>
      <c r="F1184" s="3"/>
      <c r="G1184" s="3"/>
      <c r="N1184" s="3"/>
      <c r="Q1184" s="3"/>
      <c r="R1184" s="3"/>
      <c r="S1184" s="3"/>
      <c r="V1184" s="3"/>
      <c r="W1184" s="3"/>
      <c r="X1184" s="3"/>
      <c r="Y1184" s="3"/>
      <c r="Z1184" s="3"/>
      <c r="AA1184" s="3"/>
      <c r="AB1184" s="3"/>
    </row>
    <row r="1185" spans="1:28" x14ac:dyDescent="0.3">
      <c r="A1185" s="2"/>
      <c r="F1185" s="3"/>
      <c r="G1185" s="3"/>
      <c r="N1185" s="3"/>
      <c r="Q1185" s="3"/>
      <c r="R1185" s="3"/>
      <c r="S1185" s="3"/>
      <c r="V1185" s="3"/>
      <c r="W1185" s="3"/>
      <c r="X1185" s="3"/>
      <c r="Y1185" s="3"/>
      <c r="Z1185" s="3"/>
      <c r="AA1185" s="3"/>
      <c r="AB1185" s="3"/>
    </row>
    <row r="1186" spans="1:28" x14ac:dyDescent="0.3">
      <c r="A1186" s="2"/>
      <c r="F1186" s="3"/>
      <c r="G1186" s="3"/>
      <c r="N1186" s="3"/>
      <c r="Q1186" s="3"/>
      <c r="R1186" s="3"/>
      <c r="S1186" s="3"/>
      <c r="V1186" s="3"/>
      <c r="W1186" s="3"/>
      <c r="X1186" s="3"/>
      <c r="Y1186" s="3"/>
      <c r="Z1186" s="3"/>
      <c r="AA1186" s="3"/>
      <c r="AB1186" s="3"/>
    </row>
    <row r="1187" spans="1:28" x14ac:dyDescent="0.3">
      <c r="A1187" s="2"/>
      <c r="F1187" s="3"/>
      <c r="G1187" s="3"/>
      <c r="N1187" s="3"/>
      <c r="Q1187" s="3"/>
      <c r="R1187" s="3"/>
      <c r="S1187" s="3"/>
      <c r="V1187" s="3"/>
      <c r="W1187" s="3"/>
      <c r="X1187" s="3"/>
      <c r="Y1187" s="3"/>
      <c r="Z1187" s="3"/>
      <c r="AA1187" s="3"/>
      <c r="AB1187" s="3"/>
    </row>
    <row r="1188" spans="1:28" x14ac:dyDescent="0.3">
      <c r="A1188" s="2"/>
      <c r="F1188" s="3"/>
      <c r="G1188" s="3"/>
      <c r="N1188" s="3"/>
      <c r="Q1188" s="3"/>
      <c r="R1188" s="3"/>
      <c r="S1188" s="3"/>
      <c r="V1188" s="3"/>
      <c r="W1188" s="3"/>
      <c r="X1188" s="3"/>
      <c r="Y1188" s="3"/>
      <c r="Z1188" s="3"/>
      <c r="AA1188" s="3"/>
      <c r="AB1188" s="3"/>
    </row>
    <row r="1189" spans="1:28" x14ac:dyDescent="0.3">
      <c r="A1189" s="2"/>
      <c r="F1189" s="3"/>
      <c r="G1189" s="3"/>
      <c r="N1189" s="3"/>
      <c r="Q1189" s="3"/>
      <c r="R1189" s="3"/>
      <c r="S1189" s="3"/>
      <c r="V1189" s="3"/>
      <c r="W1189" s="3"/>
      <c r="X1189" s="3"/>
      <c r="Y1189" s="3"/>
      <c r="Z1189" s="3"/>
      <c r="AA1189" s="3"/>
      <c r="AB1189" s="3"/>
    </row>
    <row r="1190" spans="1:28" x14ac:dyDescent="0.3">
      <c r="A1190" s="2"/>
      <c r="F1190" s="3"/>
      <c r="G1190" s="3"/>
      <c r="N1190" s="3"/>
      <c r="Q1190" s="3"/>
      <c r="R1190" s="3"/>
      <c r="S1190" s="3"/>
      <c r="V1190" s="3"/>
      <c r="W1190" s="3"/>
      <c r="X1190" s="3"/>
      <c r="Y1190" s="3"/>
      <c r="Z1190" s="3"/>
      <c r="AA1190" s="3"/>
      <c r="AB1190" s="3"/>
    </row>
    <row r="1191" spans="1:28" x14ac:dyDescent="0.3">
      <c r="A1191" s="2"/>
      <c r="F1191" s="3"/>
      <c r="G1191" s="3"/>
      <c r="N1191" s="3"/>
      <c r="Q1191" s="3"/>
      <c r="R1191" s="3"/>
      <c r="S1191" s="3"/>
      <c r="V1191" s="3"/>
      <c r="W1191" s="3"/>
      <c r="X1191" s="3"/>
      <c r="Y1191" s="3"/>
      <c r="Z1191" s="3"/>
      <c r="AA1191" s="3"/>
      <c r="AB1191" s="3"/>
    </row>
    <row r="1192" spans="1:28" x14ac:dyDescent="0.3">
      <c r="A1192" s="2"/>
      <c r="F1192" s="3"/>
      <c r="G1192" s="3"/>
      <c r="N1192" s="3"/>
      <c r="Q1192" s="3"/>
      <c r="R1192" s="3"/>
      <c r="S1192" s="3"/>
      <c r="V1192" s="3"/>
      <c r="W1192" s="3"/>
      <c r="X1192" s="3"/>
      <c r="Y1192" s="3"/>
      <c r="Z1192" s="3"/>
      <c r="AA1192" s="3"/>
      <c r="AB1192" s="3"/>
    </row>
    <row r="1193" spans="1:28" x14ac:dyDescent="0.3">
      <c r="A1193" s="2"/>
      <c r="F1193" s="3"/>
      <c r="G1193" s="3"/>
      <c r="N1193" s="3"/>
      <c r="Q1193" s="3"/>
      <c r="R1193" s="3"/>
      <c r="S1193" s="3"/>
      <c r="V1193" s="3"/>
      <c r="W1193" s="3"/>
      <c r="X1193" s="3"/>
      <c r="Y1193" s="3"/>
      <c r="Z1193" s="3"/>
      <c r="AA1193" s="3"/>
      <c r="AB1193" s="3"/>
    </row>
    <row r="1194" spans="1:28" x14ac:dyDescent="0.3">
      <c r="A1194" s="2"/>
      <c r="F1194" s="3"/>
      <c r="G1194" s="3"/>
      <c r="N1194" s="3"/>
      <c r="Q1194" s="3"/>
      <c r="R1194" s="3"/>
      <c r="S1194" s="3"/>
      <c r="V1194" s="3"/>
      <c r="W1194" s="3"/>
      <c r="X1194" s="3"/>
      <c r="Y1194" s="3"/>
      <c r="Z1194" s="3"/>
      <c r="AA1194" s="3"/>
      <c r="AB1194" s="3"/>
    </row>
    <row r="1195" spans="1:28" x14ac:dyDescent="0.3">
      <c r="A1195" s="2"/>
      <c r="F1195" s="3"/>
      <c r="G1195" s="3"/>
      <c r="N1195" s="3"/>
      <c r="Q1195" s="3"/>
      <c r="R1195" s="3"/>
      <c r="S1195" s="3"/>
      <c r="V1195" s="3"/>
      <c r="W1195" s="3"/>
      <c r="X1195" s="3"/>
      <c r="Y1195" s="3"/>
      <c r="Z1195" s="3"/>
      <c r="AA1195" s="3"/>
      <c r="AB1195" s="3"/>
    </row>
    <row r="1196" spans="1:28" x14ac:dyDescent="0.3">
      <c r="A1196" s="2"/>
      <c r="F1196" s="3"/>
      <c r="G1196" s="3"/>
      <c r="N1196" s="3"/>
      <c r="Q1196" s="3"/>
      <c r="R1196" s="3"/>
      <c r="S1196" s="3"/>
      <c r="V1196" s="3"/>
      <c r="W1196" s="3"/>
      <c r="X1196" s="3"/>
      <c r="Y1196" s="3"/>
      <c r="Z1196" s="3"/>
      <c r="AA1196" s="3"/>
      <c r="AB1196" s="3"/>
    </row>
    <row r="1197" spans="1:28" x14ac:dyDescent="0.3">
      <c r="A1197" s="2"/>
      <c r="F1197" s="3"/>
      <c r="G1197" s="3"/>
      <c r="N1197" s="3"/>
      <c r="Q1197" s="3"/>
      <c r="R1197" s="3"/>
      <c r="S1197" s="3"/>
      <c r="V1197" s="3"/>
      <c r="W1197" s="3"/>
      <c r="X1197" s="3"/>
      <c r="Y1197" s="3"/>
      <c r="Z1197" s="3"/>
      <c r="AA1197" s="3"/>
      <c r="AB1197" s="3"/>
    </row>
    <row r="1198" spans="1:28" x14ac:dyDescent="0.3">
      <c r="A1198" s="2"/>
      <c r="F1198" s="3"/>
      <c r="G1198" s="3"/>
      <c r="N1198" s="3"/>
      <c r="Q1198" s="3"/>
      <c r="R1198" s="3"/>
      <c r="S1198" s="3"/>
      <c r="V1198" s="3"/>
      <c r="W1198" s="3"/>
      <c r="X1198" s="3"/>
      <c r="Y1198" s="3"/>
      <c r="Z1198" s="3"/>
      <c r="AA1198" s="3"/>
      <c r="AB1198" s="3"/>
    </row>
    <row r="1199" spans="1:28" x14ac:dyDescent="0.3">
      <c r="A1199" s="2"/>
      <c r="F1199" s="3"/>
      <c r="G1199" s="3"/>
      <c r="N1199" s="3"/>
      <c r="Q1199" s="3"/>
      <c r="R1199" s="3"/>
      <c r="S1199" s="3"/>
      <c r="V1199" s="3"/>
      <c r="W1199" s="3"/>
      <c r="X1199" s="3"/>
      <c r="Y1199" s="3"/>
      <c r="Z1199" s="3"/>
      <c r="AA1199" s="3"/>
      <c r="AB1199" s="3"/>
    </row>
    <row r="1200" spans="1:28" x14ac:dyDescent="0.3">
      <c r="A1200" s="2"/>
      <c r="F1200" s="3"/>
      <c r="G1200" s="3"/>
      <c r="N1200" s="3"/>
      <c r="Q1200" s="3"/>
      <c r="R1200" s="3"/>
      <c r="S1200" s="3"/>
      <c r="V1200" s="3"/>
      <c r="W1200" s="3"/>
      <c r="X1200" s="3"/>
      <c r="Y1200" s="3"/>
      <c r="Z1200" s="3"/>
      <c r="AA1200" s="3"/>
      <c r="AB1200" s="3"/>
    </row>
    <row r="1201" spans="1:28" x14ac:dyDescent="0.3">
      <c r="A1201" s="2"/>
      <c r="F1201" s="3"/>
      <c r="G1201" s="3"/>
      <c r="N1201" s="3"/>
      <c r="Q1201" s="3"/>
      <c r="R1201" s="3"/>
      <c r="S1201" s="3"/>
      <c r="V1201" s="3"/>
      <c r="W1201" s="3"/>
      <c r="X1201" s="3"/>
      <c r="Y1201" s="3"/>
      <c r="Z1201" s="3"/>
      <c r="AA1201" s="3"/>
      <c r="AB1201" s="3"/>
    </row>
    <row r="1202" spans="1:28" x14ac:dyDescent="0.3">
      <c r="A1202" s="2"/>
      <c r="F1202" s="3"/>
      <c r="G1202" s="3"/>
      <c r="N1202" s="3"/>
      <c r="Q1202" s="3"/>
      <c r="R1202" s="3"/>
      <c r="S1202" s="3"/>
      <c r="V1202" s="3"/>
      <c r="W1202" s="3"/>
      <c r="X1202" s="3"/>
      <c r="Y1202" s="3"/>
      <c r="Z1202" s="3"/>
      <c r="AA1202" s="3"/>
      <c r="AB1202" s="3"/>
    </row>
    <row r="1203" spans="1:28" x14ac:dyDescent="0.3">
      <c r="A1203" s="2"/>
      <c r="F1203" s="3"/>
      <c r="G1203" s="3"/>
      <c r="N1203" s="3"/>
      <c r="Q1203" s="3"/>
      <c r="R1203" s="3"/>
      <c r="S1203" s="3"/>
      <c r="V1203" s="3"/>
      <c r="W1203" s="3"/>
      <c r="X1203" s="3"/>
      <c r="Y1203" s="3"/>
      <c r="Z1203" s="3"/>
      <c r="AA1203" s="3"/>
      <c r="AB1203" s="3"/>
    </row>
    <row r="1204" spans="1:28" x14ac:dyDescent="0.3">
      <c r="A1204" s="2"/>
      <c r="F1204" s="3"/>
      <c r="G1204" s="3"/>
      <c r="N1204" s="3"/>
      <c r="Q1204" s="3"/>
      <c r="R1204" s="3"/>
      <c r="S1204" s="3"/>
      <c r="V1204" s="3"/>
      <c r="W1204" s="3"/>
      <c r="X1204" s="3"/>
      <c r="Y1204" s="3"/>
      <c r="Z1204" s="3"/>
      <c r="AA1204" s="3"/>
      <c r="AB1204" s="3"/>
    </row>
    <row r="1205" spans="1:28" x14ac:dyDescent="0.3">
      <c r="A1205" s="2"/>
      <c r="F1205" s="3"/>
      <c r="G1205" s="3"/>
      <c r="N1205" s="3"/>
      <c r="Q1205" s="3"/>
      <c r="R1205" s="3"/>
      <c r="S1205" s="3"/>
      <c r="V1205" s="3"/>
      <c r="W1205" s="3"/>
      <c r="X1205" s="3"/>
      <c r="Y1205" s="3"/>
      <c r="Z1205" s="3"/>
      <c r="AA1205" s="3"/>
      <c r="AB1205" s="3"/>
    </row>
    <row r="1206" spans="1:28" x14ac:dyDescent="0.3">
      <c r="A1206" s="2"/>
      <c r="F1206" s="3"/>
      <c r="G1206" s="3"/>
      <c r="N1206" s="3"/>
      <c r="Q1206" s="3"/>
      <c r="R1206" s="3"/>
      <c r="S1206" s="3"/>
      <c r="V1206" s="3"/>
      <c r="W1206" s="3"/>
      <c r="X1206" s="3"/>
      <c r="Y1206" s="3"/>
      <c r="Z1206" s="3"/>
      <c r="AA1206" s="3"/>
      <c r="AB1206" s="3"/>
    </row>
    <row r="1207" spans="1:28" x14ac:dyDescent="0.3">
      <c r="A1207" s="2"/>
      <c r="F1207" s="3"/>
      <c r="G1207" s="3"/>
      <c r="N1207" s="3"/>
      <c r="Q1207" s="3"/>
      <c r="R1207" s="3"/>
      <c r="S1207" s="3"/>
      <c r="V1207" s="3"/>
      <c r="W1207" s="3"/>
      <c r="X1207" s="3"/>
      <c r="Y1207" s="3"/>
      <c r="Z1207" s="3"/>
      <c r="AA1207" s="3"/>
      <c r="AB1207" s="3"/>
    </row>
    <row r="1208" spans="1:28" x14ac:dyDescent="0.3">
      <c r="A1208" s="2"/>
      <c r="F1208" s="3"/>
      <c r="G1208" s="3"/>
      <c r="N1208" s="3"/>
      <c r="Q1208" s="3"/>
      <c r="R1208" s="3"/>
      <c r="S1208" s="3"/>
      <c r="V1208" s="3"/>
      <c r="W1208" s="3"/>
      <c r="X1208" s="3"/>
      <c r="Y1208" s="3"/>
      <c r="Z1208" s="3"/>
      <c r="AA1208" s="3"/>
      <c r="AB1208" s="3"/>
    </row>
    <row r="1209" spans="1:28" x14ac:dyDescent="0.3">
      <c r="A1209" s="2"/>
      <c r="F1209" s="3"/>
      <c r="G1209" s="3"/>
      <c r="N1209" s="3"/>
      <c r="Q1209" s="3"/>
      <c r="R1209" s="3"/>
      <c r="S1209" s="3"/>
      <c r="V1209" s="3"/>
      <c r="W1209" s="3"/>
      <c r="X1209" s="3"/>
      <c r="Y1209" s="3"/>
      <c r="Z1209" s="3"/>
      <c r="AA1209" s="3"/>
      <c r="AB1209" s="3"/>
    </row>
    <row r="1210" spans="1:28" x14ac:dyDescent="0.3">
      <c r="A1210" s="2"/>
      <c r="F1210" s="3"/>
      <c r="G1210" s="3"/>
      <c r="N1210" s="3"/>
      <c r="Q1210" s="3"/>
      <c r="R1210" s="3"/>
      <c r="S1210" s="3"/>
      <c r="V1210" s="3"/>
      <c r="W1210" s="3"/>
      <c r="X1210" s="3"/>
      <c r="Y1210" s="3"/>
      <c r="Z1210" s="3"/>
      <c r="AA1210" s="3"/>
      <c r="AB1210" s="3"/>
    </row>
    <row r="1211" spans="1:28" x14ac:dyDescent="0.3">
      <c r="A1211" s="2"/>
      <c r="F1211" s="3"/>
      <c r="G1211" s="3"/>
      <c r="N1211" s="3"/>
      <c r="Q1211" s="3"/>
      <c r="R1211" s="3"/>
      <c r="S1211" s="3"/>
      <c r="V1211" s="3"/>
      <c r="W1211" s="3"/>
      <c r="X1211" s="3"/>
      <c r="Y1211" s="3"/>
      <c r="Z1211" s="3"/>
      <c r="AA1211" s="3"/>
      <c r="AB1211" s="3"/>
    </row>
    <row r="1212" spans="1:28" x14ac:dyDescent="0.3">
      <c r="A1212" s="2"/>
      <c r="F1212" s="3"/>
      <c r="G1212" s="3"/>
      <c r="N1212" s="3"/>
      <c r="Q1212" s="3"/>
      <c r="R1212" s="3"/>
      <c r="S1212" s="3"/>
      <c r="V1212" s="3"/>
      <c r="W1212" s="3"/>
      <c r="X1212" s="3"/>
      <c r="Y1212" s="3"/>
      <c r="Z1212" s="3"/>
      <c r="AA1212" s="3"/>
      <c r="AB1212" s="3"/>
    </row>
    <row r="1213" spans="1:28" x14ac:dyDescent="0.3">
      <c r="A1213" s="2"/>
      <c r="F1213" s="3"/>
      <c r="G1213" s="3"/>
      <c r="N1213" s="3"/>
      <c r="Q1213" s="3"/>
      <c r="R1213" s="3"/>
      <c r="S1213" s="3"/>
      <c r="V1213" s="3"/>
      <c r="W1213" s="3"/>
      <c r="X1213" s="3"/>
      <c r="Y1213" s="3"/>
      <c r="Z1213" s="3"/>
      <c r="AA1213" s="3"/>
      <c r="AB1213" s="3"/>
    </row>
    <row r="1214" spans="1:28" x14ac:dyDescent="0.3">
      <c r="A1214" s="2"/>
      <c r="F1214" s="3"/>
      <c r="G1214" s="3"/>
      <c r="N1214" s="3"/>
      <c r="Q1214" s="3"/>
      <c r="R1214" s="3"/>
      <c r="S1214" s="3"/>
      <c r="V1214" s="3"/>
      <c r="W1214" s="3"/>
      <c r="X1214" s="3"/>
      <c r="Y1214" s="3"/>
      <c r="Z1214" s="3"/>
      <c r="AA1214" s="3"/>
      <c r="AB1214" s="3"/>
    </row>
    <row r="1215" spans="1:28" x14ac:dyDescent="0.3">
      <c r="A1215" s="2"/>
      <c r="F1215" s="3"/>
      <c r="G1215" s="3"/>
      <c r="N1215" s="3"/>
      <c r="Q1215" s="3"/>
      <c r="R1215" s="3"/>
      <c r="S1215" s="3"/>
      <c r="V1215" s="3"/>
      <c r="W1215" s="3"/>
      <c r="X1215" s="3"/>
      <c r="Y1215" s="3"/>
      <c r="Z1215" s="3"/>
      <c r="AA1215" s="3"/>
      <c r="AB1215" s="3"/>
    </row>
    <row r="1216" spans="1:28" x14ac:dyDescent="0.3">
      <c r="A1216" s="2"/>
      <c r="F1216" s="3"/>
      <c r="G1216" s="3"/>
      <c r="N1216" s="3"/>
      <c r="Q1216" s="3"/>
      <c r="R1216" s="3"/>
      <c r="S1216" s="3"/>
      <c r="V1216" s="3"/>
      <c r="W1216" s="3"/>
      <c r="X1216" s="3"/>
      <c r="Y1216" s="3"/>
      <c r="Z1216" s="3"/>
      <c r="AA1216" s="3"/>
      <c r="AB1216" s="3"/>
    </row>
    <row r="1217" spans="1:28" x14ac:dyDescent="0.3">
      <c r="A1217" s="2"/>
      <c r="F1217" s="3"/>
      <c r="G1217" s="3"/>
      <c r="N1217" s="3"/>
      <c r="Q1217" s="3"/>
      <c r="R1217" s="3"/>
      <c r="S1217" s="3"/>
      <c r="V1217" s="3"/>
      <c r="W1217" s="3"/>
      <c r="X1217" s="3"/>
      <c r="Y1217" s="3"/>
      <c r="Z1217" s="3"/>
      <c r="AA1217" s="3"/>
      <c r="AB1217" s="3"/>
    </row>
    <row r="1218" spans="1:28" x14ac:dyDescent="0.3">
      <c r="A1218" s="2"/>
      <c r="F1218" s="3"/>
      <c r="G1218" s="3"/>
      <c r="N1218" s="3"/>
      <c r="Q1218" s="3"/>
      <c r="R1218" s="3"/>
      <c r="S1218" s="3"/>
      <c r="V1218" s="3"/>
      <c r="W1218" s="3"/>
      <c r="X1218" s="3"/>
      <c r="Y1218" s="3"/>
      <c r="Z1218" s="3"/>
      <c r="AA1218" s="3"/>
      <c r="AB1218" s="3"/>
    </row>
    <row r="1219" spans="1:28" x14ac:dyDescent="0.3">
      <c r="A1219" s="2"/>
      <c r="F1219" s="3"/>
      <c r="G1219" s="3"/>
      <c r="N1219" s="3"/>
      <c r="Q1219" s="3"/>
      <c r="R1219" s="3"/>
      <c r="S1219" s="3"/>
      <c r="V1219" s="3"/>
      <c r="W1219" s="3"/>
      <c r="X1219" s="3"/>
      <c r="Y1219" s="3"/>
      <c r="Z1219" s="3"/>
      <c r="AA1219" s="3"/>
      <c r="AB1219" s="3"/>
    </row>
    <row r="1220" spans="1:28" x14ac:dyDescent="0.3">
      <c r="A1220" s="2"/>
      <c r="F1220" s="3"/>
      <c r="G1220" s="3"/>
      <c r="N1220" s="3"/>
      <c r="Q1220" s="3"/>
      <c r="R1220" s="3"/>
      <c r="S1220" s="3"/>
      <c r="V1220" s="3"/>
      <c r="W1220" s="3"/>
      <c r="X1220" s="3"/>
      <c r="Y1220" s="3"/>
      <c r="Z1220" s="3"/>
      <c r="AA1220" s="3"/>
      <c r="AB1220" s="3"/>
    </row>
    <row r="1221" spans="1:28" x14ac:dyDescent="0.3">
      <c r="A1221" s="2"/>
      <c r="F1221" s="3"/>
      <c r="G1221" s="3"/>
      <c r="N1221" s="3"/>
      <c r="Q1221" s="3"/>
      <c r="R1221" s="3"/>
      <c r="S1221" s="3"/>
      <c r="V1221" s="3"/>
      <c r="W1221" s="3"/>
      <c r="X1221" s="3"/>
      <c r="Y1221" s="3"/>
      <c r="Z1221" s="3"/>
      <c r="AA1221" s="3"/>
      <c r="AB1221" s="3"/>
    </row>
    <row r="1222" spans="1:28" x14ac:dyDescent="0.3">
      <c r="A1222" s="2"/>
      <c r="F1222" s="3"/>
      <c r="G1222" s="3"/>
      <c r="N1222" s="3"/>
      <c r="Q1222" s="3"/>
      <c r="R1222" s="3"/>
      <c r="S1222" s="3"/>
      <c r="V1222" s="3"/>
      <c r="W1222" s="3"/>
      <c r="X1222" s="3"/>
      <c r="Y1222" s="3"/>
      <c r="Z1222" s="3"/>
      <c r="AA1222" s="3"/>
      <c r="AB1222" s="3"/>
    </row>
    <row r="1223" spans="1:28" x14ac:dyDescent="0.3">
      <c r="A1223" s="2"/>
      <c r="F1223" s="3"/>
      <c r="G1223" s="3"/>
      <c r="N1223" s="3"/>
      <c r="Q1223" s="3"/>
      <c r="R1223" s="3"/>
      <c r="S1223" s="3"/>
      <c r="V1223" s="3"/>
      <c r="W1223" s="3"/>
      <c r="X1223" s="3"/>
      <c r="Y1223" s="3"/>
      <c r="Z1223" s="3"/>
      <c r="AA1223" s="3"/>
      <c r="AB1223" s="3"/>
    </row>
    <row r="1224" spans="1:28" x14ac:dyDescent="0.3">
      <c r="A1224" s="2"/>
      <c r="F1224" s="3"/>
      <c r="G1224" s="3"/>
      <c r="N1224" s="3"/>
      <c r="Q1224" s="3"/>
      <c r="R1224" s="3"/>
      <c r="S1224" s="3"/>
      <c r="V1224" s="3"/>
      <c r="W1224" s="3"/>
      <c r="X1224" s="3"/>
      <c r="Y1224" s="3"/>
      <c r="Z1224" s="3"/>
      <c r="AA1224" s="3"/>
      <c r="AB1224" s="3"/>
    </row>
    <row r="1225" spans="1:28" x14ac:dyDescent="0.3">
      <c r="A1225" s="2"/>
      <c r="F1225" s="3"/>
      <c r="G1225" s="3"/>
      <c r="N1225" s="3"/>
      <c r="Q1225" s="3"/>
      <c r="R1225" s="3"/>
      <c r="S1225" s="3"/>
      <c r="V1225" s="3"/>
      <c r="W1225" s="3"/>
      <c r="X1225" s="3"/>
      <c r="Y1225" s="3"/>
      <c r="Z1225" s="3"/>
      <c r="AA1225" s="3"/>
      <c r="AB1225" s="3"/>
    </row>
    <row r="1226" spans="1:28" x14ac:dyDescent="0.3">
      <c r="A1226" s="2"/>
      <c r="F1226" s="3"/>
      <c r="G1226" s="3"/>
      <c r="N1226" s="3"/>
      <c r="Q1226" s="3"/>
      <c r="R1226" s="3"/>
      <c r="S1226" s="3"/>
      <c r="V1226" s="3"/>
      <c r="W1226" s="3"/>
      <c r="X1226" s="3"/>
      <c r="Y1226" s="3"/>
      <c r="Z1226" s="3"/>
      <c r="AA1226" s="3"/>
      <c r="AB1226" s="3"/>
    </row>
    <row r="1227" spans="1:28" x14ac:dyDescent="0.3">
      <c r="A1227" s="2"/>
      <c r="F1227" s="3"/>
      <c r="G1227" s="3"/>
      <c r="N1227" s="3"/>
      <c r="Q1227" s="3"/>
      <c r="R1227" s="3"/>
      <c r="S1227" s="3"/>
      <c r="V1227" s="3"/>
      <c r="W1227" s="3"/>
      <c r="X1227" s="3"/>
      <c r="Y1227" s="3"/>
      <c r="Z1227" s="3"/>
      <c r="AA1227" s="3"/>
      <c r="AB1227" s="3"/>
    </row>
    <row r="1228" spans="1:28" x14ac:dyDescent="0.3">
      <c r="A1228" s="2"/>
      <c r="F1228" s="3"/>
      <c r="G1228" s="3"/>
      <c r="N1228" s="3"/>
      <c r="Q1228" s="3"/>
      <c r="R1228" s="3"/>
      <c r="S1228" s="3"/>
      <c r="V1228" s="3"/>
      <c r="W1228" s="3"/>
      <c r="X1228" s="3"/>
      <c r="Y1228" s="3"/>
      <c r="Z1228" s="3"/>
      <c r="AA1228" s="3"/>
      <c r="AB1228" s="3"/>
    </row>
    <row r="1229" spans="1:28" x14ac:dyDescent="0.3">
      <c r="A1229" s="2"/>
      <c r="F1229" s="3"/>
      <c r="G1229" s="3"/>
      <c r="N1229" s="3"/>
      <c r="Q1229" s="3"/>
      <c r="R1229" s="3"/>
      <c r="S1229" s="3"/>
      <c r="V1229" s="3"/>
      <c r="W1229" s="3"/>
      <c r="X1229" s="3"/>
      <c r="Y1229" s="3"/>
      <c r="Z1229" s="3"/>
      <c r="AA1229" s="3"/>
      <c r="AB1229" s="3"/>
    </row>
    <row r="1230" spans="1:28" x14ac:dyDescent="0.3">
      <c r="A1230" s="2"/>
      <c r="F1230" s="3"/>
      <c r="G1230" s="3"/>
      <c r="N1230" s="3"/>
      <c r="Q1230" s="3"/>
      <c r="R1230" s="3"/>
      <c r="S1230" s="3"/>
      <c r="V1230" s="3"/>
      <c r="W1230" s="3"/>
      <c r="X1230" s="3"/>
      <c r="Y1230" s="3"/>
      <c r="Z1230" s="3"/>
      <c r="AA1230" s="3"/>
      <c r="AB1230" s="3"/>
    </row>
    <row r="1231" spans="1:28" x14ac:dyDescent="0.3">
      <c r="A1231" s="2"/>
      <c r="F1231" s="3"/>
      <c r="G1231" s="3"/>
      <c r="N1231" s="3"/>
      <c r="Q1231" s="3"/>
      <c r="R1231" s="3"/>
      <c r="S1231" s="3"/>
      <c r="V1231" s="3"/>
      <c r="W1231" s="3"/>
      <c r="X1231" s="3"/>
      <c r="Y1231" s="3"/>
      <c r="Z1231" s="3"/>
      <c r="AA1231" s="3"/>
      <c r="AB1231" s="3"/>
    </row>
    <row r="1232" spans="1:28" x14ac:dyDescent="0.3">
      <c r="A1232" s="2"/>
      <c r="F1232" s="3"/>
      <c r="G1232" s="3"/>
      <c r="N1232" s="3"/>
      <c r="Q1232" s="3"/>
      <c r="R1232" s="3"/>
      <c r="S1232" s="3"/>
      <c r="V1232" s="3"/>
      <c r="W1232" s="3"/>
      <c r="X1232" s="3"/>
      <c r="Y1232" s="3"/>
      <c r="Z1232" s="3"/>
      <c r="AA1232" s="3"/>
      <c r="AB1232" s="3"/>
    </row>
    <row r="1233" spans="1:28" x14ac:dyDescent="0.3">
      <c r="A1233" s="2"/>
      <c r="F1233" s="3"/>
      <c r="G1233" s="3"/>
      <c r="N1233" s="3"/>
      <c r="Q1233" s="3"/>
      <c r="R1233" s="3"/>
      <c r="S1233" s="3"/>
      <c r="V1233" s="3"/>
      <c r="W1233" s="3"/>
      <c r="X1233" s="3"/>
      <c r="Y1233" s="3"/>
      <c r="Z1233" s="3"/>
      <c r="AA1233" s="3"/>
      <c r="AB1233" s="3"/>
    </row>
    <row r="1234" spans="1:28" x14ac:dyDescent="0.3">
      <c r="A1234" s="2"/>
      <c r="F1234" s="3"/>
      <c r="G1234" s="3"/>
      <c r="N1234" s="3"/>
      <c r="Q1234" s="3"/>
      <c r="R1234" s="3"/>
      <c r="S1234" s="3"/>
      <c r="V1234" s="3"/>
      <c r="W1234" s="3"/>
      <c r="X1234" s="3"/>
      <c r="Y1234" s="3"/>
      <c r="Z1234" s="3"/>
      <c r="AA1234" s="3"/>
      <c r="AB1234" s="3"/>
    </row>
    <row r="1235" spans="1:28" x14ac:dyDescent="0.3">
      <c r="A1235" s="2"/>
      <c r="F1235" s="3"/>
      <c r="G1235" s="3"/>
      <c r="N1235" s="3"/>
      <c r="Q1235" s="3"/>
      <c r="R1235" s="3"/>
      <c r="S1235" s="3"/>
      <c r="V1235" s="3"/>
      <c r="W1235" s="3"/>
      <c r="X1235" s="3"/>
      <c r="Y1235" s="3"/>
      <c r="Z1235" s="3"/>
      <c r="AA1235" s="3"/>
      <c r="AB1235" s="3"/>
    </row>
    <row r="1236" spans="1:28" x14ac:dyDescent="0.3">
      <c r="A1236" s="2"/>
      <c r="F1236" s="3"/>
      <c r="G1236" s="3"/>
      <c r="N1236" s="3"/>
      <c r="Q1236" s="3"/>
      <c r="R1236" s="3"/>
      <c r="S1236" s="3"/>
      <c r="V1236" s="3"/>
      <c r="W1236" s="3"/>
      <c r="X1236" s="3"/>
      <c r="Y1236" s="3"/>
      <c r="Z1236" s="3"/>
      <c r="AA1236" s="3"/>
      <c r="AB1236" s="3"/>
    </row>
    <row r="1237" spans="1:28" x14ac:dyDescent="0.3">
      <c r="A1237" s="2"/>
      <c r="F1237" s="3"/>
      <c r="G1237" s="3"/>
      <c r="N1237" s="3"/>
      <c r="Q1237" s="3"/>
      <c r="R1237" s="3"/>
      <c r="S1237" s="3"/>
      <c r="V1237" s="3"/>
      <c r="W1237" s="3"/>
      <c r="X1237" s="3"/>
      <c r="Y1237" s="3"/>
      <c r="Z1237" s="3"/>
      <c r="AA1237" s="3"/>
      <c r="AB1237" s="3"/>
    </row>
    <row r="1238" spans="1:28" x14ac:dyDescent="0.3">
      <c r="A1238" s="2"/>
      <c r="F1238" s="3"/>
      <c r="G1238" s="3"/>
      <c r="N1238" s="3"/>
      <c r="Q1238" s="3"/>
      <c r="R1238" s="3"/>
      <c r="S1238" s="3"/>
      <c r="V1238" s="3"/>
      <c r="W1238" s="3"/>
      <c r="X1238" s="3"/>
      <c r="Y1238" s="3"/>
      <c r="Z1238" s="3"/>
      <c r="AA1238" s="3"/>
      <c r="AB1238" s="3"/>
    </row>
    <row r="1239" spans="1:28" x14ac:dyDescent="0.3">
      <c r="A1239" s="2"/>
      <c r="F1239" s="3"/>
      <c r="G1239" s="3"/>
      <c r="N1239" s="3"/>
      <c r="Q1239" s="3"/>
      <c r="R1239" s="3"/>
      <c r="S1239" s="3"/>
      <c r="V1239" s="3"/>
      <c r="W1239" s="3"/>
      <c r="X1239" s="3"/>
      <c r="Y1239" s="3"/>
      <c r="Z1239" s="3"/>
      <c r="AA1239" s="3"/>
      <c r="AB1239" s="3"/>
    </row>
    <row r="1240" spans="1:28" x14ac:dyDescent="0.3">
      <c r="A1240" s="2"/>
      <c r="F1240" s="3"/>
      <c r="G1240" s="3"/>
      <c r="N1240" s="3"/>
      <c r="Q1240" s="3"/>
      <c r="R1240" s="3"/>
      <c r="S1240" s="3"/>
      <c r="V1240" s="3"/>
      <c r="W1240" s="3"/>
      <c r="X1240" s="3"/>
      <c r="Y1240" s="3"/>
      <c r="Z1240" s="3"/>
      <c r="AA1240" s="3"/>
      <c r="AB1240" s="3"/>
    </row>
    <row r="1241" spans="1:28" x14ac:dyDescent="0.3">
      <c r="A1241" s="2"/>
      <c r="F1241" s="3"/>
      <c r="G1241" s="3"/>
      <c r="N1241" s="3"/>
      <c r="Q1241" s="3"/>
      <c r="R1241" s="3"/>
      <c r="S1241" s="3"/>
      <c r="V1241" s="3"/>
      <c r="W1241" s="3"/>
      <c r="X1241" s="3"/>
      <c r="Y1241" s="3"/>
      <c r="Z1241" s="3"/>
      <c r="AA1241" s="3"/>
      <c r="AB1241" s="3"/>
    </row>
    <row r="1242" spans="1:28" x14ac:dyDescent="0.3">
      <c r="A1242" s="2"/>
      <c r="F1242" s="3"/>
      <c r="G1242" s="3"/>
      <c r="N1242" s="3"/>
      <c r="Q1242" s="3"/>
      <c r="R1242" s="3"/>
      <c r="S1242" s="3"/>
      <c r="V1242" s="3"/>
      <c r="W1242" s="3"/>
      <c r="X1242" s="3"/>
      <c r="Y1242" s="3"/>
      <c r="Z1242" s="3"/>
      <c r="AA1242" s="3"/>
      <c r="AB1242" s="3"/>
    </row>
    <row r="1243" spans="1:28" x14ac:dyDescent="0.3">
      <c r="A1243" s="2"/>
      <c r="F1243" s="3"/>
      <c r="G1243" s="3"/>
      <c r="N1243" s="3"/>
      <c r="Q1243" s="3"/>
      <c r="R1243" s="3"/>
      <c r="S1243" s="3"/>
      <c r="V1243" s="3"/>
      <c r="W1243" s="3"/>
      <c r="X1243" s="3"/>
      <c r="Y1243" s="3"/>
      <c r="Z1243" s="3"/>
      <c r="AA1243" s="3"/>
      <c r="AB1243" s="3"/>
    </row>
    <row r="1244" spans="1:28" x14ac:dyDescent="0.3">
      <c r="A1244" s="2"/>
      <c r="F1244" s="3"/>
      <c r="G1244" s="3"/>
      <c r="N1244" s="3"/>
      <c r="Q1244" s="3"/>
      <c r="R1244" s="3"/>
      <c r="S1244" s="3"/>
      <c r="V1244" s="3"/>
      <c r="W1244" s="3"/>
      <c r="X1244" s="3"/>
      <c r="Y1244" s="3"/>
      <c r="Z1244" s="3"/>
      <c r="AA1244" s="3"/>
      <c r="AB1244" s="3"/>
    </row>
    <row r="1245" spans="1:28" x14ac:dyDescent="0.3">
      <c r="A1245" s="2"/>
      <c r="F1245" s="3"/>
      <c r="G1245" s="3"/>
      <c r="N1245" s="3"/>
      <c r="Q1245" s="3"/>
      <c r="R1245" s="3"/>
      <c r="S1245" s="3"/>
      <c r="V1245" s="3"/>
      <c r="W1245" s="3"/>
      <c r="X1245" s="3"/>
      <c r="Y1245" s="3"/>
      <c r="Z1245" s="3"/>
      <c r="AA1245" s="3"/>
      <c r="AB1245" s="3"/>
    </row>
    <row r="1246" spans="1:28" x14ac:dyDescent="0.3">
      <c r="A1246" s="2"/>
      <c r="F1246" s="3"/>
      <c r="G1246" s="3"/>
      <c r="N1246" s="3"/>
      <c r="Q1246" s="3"/>
      <c r="R1246" s="3"/>
      <c r="S1246" s="3"/>
      <c r="V1246" s="3"/>
      <c r="W1246" s="3"/>
      <c r="X1246" s="3"/>
      <c r="Y1246" s="3"/>
      <c r="Z1246" s="3"/>
      <c r="AA1246" s="3"/>
      <c r="AB1246" s="3"/>
    </row>
    <row r="1247" spans="1:28" x14ac:dyDescent="0.3">
      <c r="A1247" s="2"/>
      <c r="F1247" s="3"/>
      <c r="G1247" s="3"/>
      <c r="N1247" s="3"/>
      <c r="Q1247" s="3"/>
      <c r="R1247" s="3"/>
      <c r="S1247" s="3"/>
      <c r="V1247" s="3"/>
      <c r="W1247" s="3"/>
      <c r="X1247" s="3"/>
      <c r="Y1247" s="3"/>
      <c r="Z1247" s="3"/>
      <c r="AA1247" s="3"/>
      <c r="AB1247" s="3"/>
    </row>
    <row r="1248" spans="1:28" x14ac:dyDescent="0.3">
      <c r="A1248" s="2"/>
      <c r="F1248" s="3"/>
      <c r="G1248" s="3"/>
      <c r="N1248" s="3"/>
      <c r="Q1248" s="3"/>
      <c r="R1248" s="3"/>
      <c r="S1248" s="3"/>
      <c r="V1248" s="3"/>
      <c r="W1248" s="3"/>
      <c r="X1248" s="3"/>
      <c r="Y1248" s="3"/>
      <c r="Z1248" s="3"/>
      <c r="AA1248" s="3"/>
      <c r="AB1248" s="3"/>
    </row>
    <row r="1249" spans="1:28" x14ac:dyDescent="0.3">
      <c r="A1249" s="2"/>
      <c r="F1249" s="3"/>
      <c r="G1249" s="3"/>
      <c r="N1249" s="3"/>
      <c r="Q1249" s="3"/>
      <c r="R1249" s="3"/>
      <c r="S1249" s="3"/>
      <c r="V1249" s="3"/>
      <c r="W1249" s="3"/>
      <c r="X1249" s="3"/>
      <c r="Y1249" s="3"/>
      <c r="Z1249" s="3"/>
      <c r="AA1249" s="3"/>
      <c r="AB1249" s="3"/>
    </row>
    <row r="1250" spans="1:28" x14ac:dyDescent="0.3">
      <c r="A1250" s="2"/>
      <c r="F1250" s="3"/>
      <c r="G1250" s="3"/>
      <c r="N1250" s="3"/>
      <c r="Q1250" s="3"/>
      <c r="R1250" s="3"/>
      <c r="S1250" s="3"/>
      <c r="V1250" s="3"/>
      <c r="W1250" s="3"/>
      <c r="X1250" s="3"/>
      <c r="Y1250" s="3"/>
      <c r="Z1250" s="3"/>
      <c r="AA1250" s="3"/>
      <c r="AB1250" s="3"/>
    </row>
    <row r="1251" spans="1:28" x14ac:dyDescent="0.3">
      <c r="A1251" s="2"/>
      <c r="F1251" s="3"/>
      <c r="G1251" s="3"/>
      <c r="N1251" s="3"/>
      <c r="Q1251" s="3"/>
      <c r="R1251" s="3"/>
      <c r="S1251" s="3"/>
      <c r="V1251" s="3"/>
      <c r="W1251" s="3"/>
      <c r="X1251" s="3"/>
      <c r="Y1251" s="3"/>
      <c r="Z1251" s="3"/>
      <c r="AA1251" s="3"/>
      <c r="AB1251" s="3"/>
    </row>
    <row r="1252" spans="1:28" x14ac:dyDescent="0.3">
      <c r="A1252" s="2"/>
      <c r="F1252" s="3"/>
      <c r="G1252" s="3"/>
      <c r="N1252" s="3"/>
      <c r="Q1252" s="3"/>
      <c r="R1252" s="3"/>
      <c r="S1252" s="3"/>
      <c r="V1252" s="3"/>
      <c r="W1252" s="3"/>
      <c r="X1252" s="3"/>
      <c r="Y1252" s="3"/>
      <c r="Z1252" s="3"/>
      <c r="AA1252" s="3"/>
      <c r="AB1252" s="3"/>
    </row>
    <row r="1253" spans="1:28" x14ac:dyDescent="0.3">
      <c r="A1253" s="2"/>
      <c r="F1253" s="3"/>
      <c r="G1253" s="3"/>
      <c r="N1253" s="3"/>
      <c r="Q1253" s="3"/>
      <c r="R1253" s="3"/>
      <c r="S1253" s="3"/>
      <c r="V1253" s="3"/>
      <c r="W1253" s="3"/>
      <c r="X1253" s="3"/>
      <c r="Y1253" s="3"/>
      <c r="Z1253" s="3"/>
      <c r="AA1253" s="3"/>
      <c r="AB1253" s="3"/>
    </row>
    <row r="1254" spans="1:28" x14ac:dyDescent="0.3">
      <c r="A1254" s="2"/>
      <c r="F1254" s="3"/>
      <c r="G1254" s="3"/>
      <c r="N1254" s="3"/>
      <c r="Q1254" s="3"/>
      <c r="R1254" s="3"/>
      <c r="S1254" s="3"/>
      <c r="V1254" s="3"/>
      <c r="W1254" s="3"/>
      <c r="X1254" s="3"/>
      <c r="Y1254" s="3"/>
      <c r="Z1254" s="3"/>
      <c r="AA1254" s="3"/>
      <c r="AB1254" s="3"/>
    </row>
    <row r="1255" spans="1:28" x14ac:dyDescent="0.3">
      <c r="A1255" s="2"/>
      <c r="F1255" s="3"/>
      <c r="G1255" s="3"/>
      <c r="N1255" s="3"/>
      <c r="Q1255" s="3"/>
      <c r="R1255" s="3"/>
      <c r="S1255" s="3"/>
      <c r="V1255" s="3"/>
      <c r="W1255" s="3"/>
      <c r="X1255" s="3"/>
      <c r="Y1255" s="3"/>
      <c r="Z1255" s="3"/>
      <c r="AA1255" s="3"/>
      <c r="AB1255" s="3"/>
    </row>
    <row r="1256" spans="1:28" x14ac:dyDescent="0.3">
      <c r="A1256" s="2"/>
      <c r="F1256" s="3"/>
      <c r="G1256" s="3"/>
      <c r="N1256" s="3"/>
      <c r="Q1256" s="3"/>
      <c r="R1256" s="3"/>
      <c r="S1256" s="3"/>
      <c r="V1256" s="3"/>
      <c r="W1256" s="3"/>
      <c r="X1256" s="3"/>
      <c r="Y1256" s="3"/>
      <c r="Z1256" s="3"/>
      <c r="AA1256" s="3"/>
      <c r="AB1256" s="3"/>
    </row>
    <row r="1257" spans="1:28" x14ac:dyDescent="0.3">
      <c r="A1257" s="2"/>
      <c r="F1257" s="3"/>
      <c r="G1257" s="3"/>
      <c r="N1257" s="3"/>
      <c r="Q1257" s="3"/>
      <c r="R1257" s="3"/>
      <c r="S1257" s="3"/>
      <c r="V1257" s="3"/>
      <c r="W1257" s="3"/>
      <c r="X1257" s="3"/>
      <c r="Y1257" s="3"/>
      <c r="Z1257" s="3"/>
      <c r="AA1257" s="3"/>
      <c r="AB1257" s="3"/>
    </row>
    <row r="1258" spans="1:28" x14ac:dyDescent="0.3">
      <c r="A1258" s="2"/>
      <c r="F1258" s="3"/>
      <c r="G1258" s="3"/>
      <c r="N1258" s="3"/>
      <c r="Q1258" s="3"/>
      <c r="R1258" s="3"/>
      <c r="S1258" s="3"/>
      <c r="V1258" s="3"/>
      <c r="W1258" s="3"/>
      <c r="X1258" s="3"/>
      <c r="Y1258" s="3"/>
      <c r="Z1258" s="3"/>
      <c r="AA1258" s="3"/>
      <c r="AB1258" s="3"/>
    </row>
    <row r="1259" spans="1:28" x14ac:dyDescent="0.3">
      <c r="A1259" s="2"/>
      <c r="F1259" s="3"/>
      <c r="G1259" s="3"/>
      <c r="N1259" s="3"/>
      <c r="Q1259" s="3"/>
      <c r="R1259" s="3"/>
      <c r="S1259" s="3"/>
      <c r="V1259" s="3"/>
      <c r="W1259" s="3"/>
      <c r="X1259" s="3"/>
      <c r="Y1259" s="3"/>
      <c r="Z1259" s="3"/>
      <c r="AA1259" s="3"/>
      <c r="AB1259" s="3"/>
    </row>
    <row r="1260" spans="1:28" x14ac:dyDescent="0.3">
      <c r="A1260" s="2"/>
      <c r="F1260" s="3"/>
      <c r="G1260" s="3"/>
      <c r="N1260" s="3"/>
      <c r="Q1260" s="3"/>
      <c r="R1260" s="3"/>
      <c r="S1260" s="3"/>
      <c r="V1260" s="3"/>
      <c r="W1260" s="3"/>
      <c r="X1260" s="3"/>
      <c r="Y1260" s="3"/>
      <c r="Z1260" s="3"/>
      <c r="AA1260" s="3"/>
      <c r="AB1260" s="3"/>
    </row>
    <row r="1261" spans="1:28" x14ac:dyDescent="0.3">
      <c r="A1261" s="2"/>
      <c r="F1261" s="3"/>
      <c r="G1261" s="3"/>
      <c r="N1261" s="3"/>
      <c r="Q1261" s="3"/>
      <c r="R1261" s="3"/>
      <c r="S1261" s="3"/>
      <c r="V1261" s="3"/>
      <c r="W1261" s="3"/>
      <c r="X1261" s="3"/>
      <c r="Y1261" s="3"/>
      <c r="Z1261" s="3"/>
      <c r="AA1261" s="3"/>
      <c r="AB1261" s="3"/>
    </row>
    <row r="1262" spans="1:28" x14ac:dyDescent="0.3">
      <c r="A1262" s="2"/>
      <c r="F1262" s="3"/>
      <c r="G1262" s="3"/>
      <c r="N1262" s="3"/>
      <c r="Q1262" s="3"/>
      <c r="R1262" s="3"/>
      <c r="S1262" s="3"/>
      <c r="V1262" s="3"/>
      <c r="W1262" s="3"/>
      <c r="X1262" s="3"/>
      <c r="Y1262" s="3"/>
      <c r="Z1262" s="3"/>
      <c r="AA1262" s="3"/>
      <c r="AB1262" s="3"/>
    </row>
    <row r="1263" spans="1:28" x14ac:dyDescent="0.3">
      <c r="A1263" s="2"/>
      <c r="F1263" s="3"/>
      <c r="G1263" s="3"/>
      <c r="N1263" s="3"/>
      <c r="Q1263" s="3"/>
      <c r="R1263" s="3"/>
      <c r="S1263" s="3"/>
      <c r="V1263" s="3"/>
      <c r="W1263" s="3"/>
      <c r="X1263" s="3"/>
      <c r="Y1263" s="3"/>
      <c r="Z1263" s="3"/>
      <c r="AA1263" s="3"/>
      <c r="AB1263" s="3"/>
    </row>
    <row r="1264" spans="1:28" x14ac:dyDescent="0.3">
      <c r="A1264" s="2"/>
      <c r="F1264" s="3"/>
      <c r="G1264" s="3"/>
      <c r="N1264" s="3"/>
      <c r="Q1264" s="3"/>
      <c r="R1264" s="3"/>
      <c r="S1264" s="3"/>
      <c r="V1264" s="3"/>
      <c r="W1264" s="3"/>
      <c r="X1264" s="3"/>
      <c r="Y1264" s="3"/>
      <c r="Z1264" s="3"/>
      <c r="AA1264" s="3"/>
      <c r="AB1264" s="3"/>
    </row>
    <row r="1265" spans="1:28" x14ac:dyDescent="0.3">
      <c r="A1265" s="2"/>
      <c r="F1265" s="3"/>
      <c r="G1265" s="3"/>
      <c r="N1265" s="3"/>
      <c r="Q1265" s="3"/>
      <c r="R1265" s="3"/>
      <c r="S1265" s="3"/>
      <c r="V1265" s="3"/>
      <c r="W1265" s="3"/>
      <c r="X1265" s="3"/>
      <c r="Y1265" s="3"/>
      <c r="Z1265" s="3"/>
      <c r="AA1265" s="3"/>
      <c r="AB1265" s="3"/>
    </row>
    <row r="1266" spans="1:28" x14ac:dyDescent="0.3">
      <c r="A1266" s="2"/>
      <c r="F1266" s="3"/>
      <c r="G1266" s="3"/>
      <c r="N1266" s="3"/>
      <c r="Q1266" s="3"/>
      <c r="R1266" s="3"/>
      <c r="S1266" s="3"/>
      <c r="V1266" s="3"/>
      <c r="W1266" s="3"/>
      <c r="X1266" s="3"/>
      <c r="Y1266" s="3"/>
      <c r="Z1266" s="3"/>
      <c r="AA1266" s="3"/>
      <c r="AB1266" s="3"/>
    </row>
    <row r="1267" spans="1:28" x14ac:dyDescent="0.3">
      <c r="A1267" s="2"/>
      <c r="F1267" s="3"/>
      <c r="G1267" s="3"/>
      <c r="N1267" s="3"/>
      <c r="Q1267" s="3"/>
      <c r="R1267" s="3"/>
      <c r="S1267" s="3"/>
      <c r="V1267" s="3"/>
      <c r="W1267" s="3"/>
      <c r="X1267" s="3"/>
      <c r="Y1267" s="3"/>
      <c r="Z1267" s="3"/>
      <c r="AA1267" s="3"/>
      <c r="AB1267" s="3"/>
    </row>
    <row r="1268" spans="1:28" x14ac:dyDescent="0.3">
      <c r="A1268" s="2"/>
      <c r="F1268" s="3"/>
      <c r="G1268" s="3"/>
      <c r="N1268" s="3"/>
      <c r="Q1268" s="3"/>
      <c r="R1268" s="3"/>
      <c r="S1268" s="3"/>
      <c r="V1268" s="3"/>
      <c r="W1268" s="3"/>
      <c r="X1268" s="3"/>
      <c r="Y1268" s="3"/>
      <c r="Z1268" s="3"/>
      <c r="AA1268" s="3"/>
      <c r="AB1268" s="3"/>
    </row>
    <row r="1269" spans="1:28" x14ac:dyDescent="0.3">
      <c r="A1269" s="2"/>
      <c r="F1269" s="3"/>
      <c r="G1269" s="3"/>
      <c r="N1269" s="3"/>
      <c r="Q1269" s="3"/>
      <c r="R1269" s="3"/>
      <c r="S1269" s="3"/>
      <c r="V1269" s="3"/>
      <c r="W1269" s="3"/>
      <c r="X1269" s="3"/>
      <c r="Y1269" s="3"/>
      <c r="Z1269" s="3"/>
      <c r="AA1269" s="3"/>
      <c r="AB1269" s="3"/>
    </row>
    <row r="1270" spans="1:28" x14ac:dyDescent="0.3">
      <c r="A1270" s="2"/>
      <c r="F1270" s="3"/>
      <c r="G1270" s="3"/>
      <c r="N1270" s="3"/>
      <c r="Q1270" s="3"/>
      <c r="R1270" s="3"/>
      <c r="S1270" s="3"/>
      <c r="V1270" s="3"/>
      <c r="W1270" s="3"/>
      <c r="X1270" s="3"/>
      <c r="Y1270" s="3"/>
      <c r="Z1270" s="3"/>
      <c r="AA1270" s="3"/>
      <c r="AB1270" s="3"/>
    </row>
    <row r="1271" spans="1:28" x14ac:dyDescent="0.3">
      <c r="A1271" s="2"/>
      <c r="F1271" s="3"/>
      <c r="G1271" s="3"/>
      <c r="N1271" s="3"/>
      <c r="Q1271" s="3"/>
      <c r="R1271" s="3"/>
      <c r="S1271" s="3"/>
      <c r="V1271" s="3"/>
      <c r="W1271" s="3"/>
      <c r="X1271" s="3"/>
      <c r="Y1271" s="3"/>
      <c r="Z1271" s="3"/>
      <c r="AA1271" s="3"/>
      <c r="AB1271" s="3"/>
    </row>
    <row r="1272" spans="1:28" x14ac:dyDescent="0.3">
      <c r="A1272" s="2"/>
      <c r="F1272" s="3"/>
      <c r="G1272" s="3"/>
      <c r="N1272" s="3"/>
      <c r="Q1272" s="3"/>
      <c r="R1272" s="3"/>
      <c r="S1272" s="3"/>
      <c r="V1272" s="3"/>
      <c r="W1272" s="3"/>
      <c r="X1272" s="3"/>
      <c r="Y1272" s="3"/>
      <c r="Z1272" s="3"/>
      <c r="AA1272" s="3"/>
      <c r="AB1272" s="3"/>
    </row>
    <row r="1273" spans="1:28" x14ac:dyDescent="0.3">
      <c r="A1273" s="2"/>
      <c r="F1273" s="3"/>
      <c r="G1273" s="3"/>
      <c r="N1273" s="3"/>
      <c r="Q1273" s="3"/>
      <c r="R1273" s="3"/>
      <c r="S1273" s="3"/>
      <c r="V1273" s="3"/>
      <c r="W1273" s="3"/>
      <c r="X1273" s="3"/>
      <c r="Y1273" s="3"/>
      <c r="Z1273" s="3"/>
      <c r="AA1273" s="3"/>
      <c r="AB1273" s="3"/>
    </row>
    <row r="1274" spans="1:28" x14ac:dyDescent="0.3">
      <c r="A1274" s="2"/>
      <c r="F1274" s="3"/>
      <c r="G1274" s="3"/>
      <c r="N1274" s="3"/>
      <c r="Q1274" s="3"/>
      <c r="R1274" s="3"/>
      <c r="S1274" s="3"/>
      <c r="V1274" s="3"/>
      <c r="W1274" s="3"/>
      <c r="X1274" s="3"/>
      <c r="Y1274" s="3"/>
      <c r="Z1274" s="3"/>
      <c r="AA1274" s="3"/>
      <c r="AB1274" s="3"/>
    </row>
    <row r="1275" spans="1:28" x14ac:dyDescent="0.3">
      <c r="A1275" s="2"/>
      <c r="F1275" s="3"/>
      <c r="G1275" s="3"/>
      <c r="N1275" s="3"/>
      <c r="Q1275" s="3"/>
      <c r="R1275" s="3"/>
      <c r="S1275" s="3"/>
      <c r="V1275" s="3"/>
      <c r="W1275" s="3"/>
      <c r="X1275" s="3"/>
      <c r="Y1275" s="3"/>
      <c r="Z1275" s="3"/>
      <c r="AA1275" s="3"/>
      <c r="AB1275" s="3"/>
    </row>
    <row r="1276" spans="1:28" x14ac:dyDescent="0.3">
      <c r="A1276" s="2"/>
      <c r="F1276" s="3"/>
      <c r="G1276" s="3"/>
      <c r="N1276" s="3"/>
      <c r="Q1276" s="3"/>
      <c r="R1276" s="3"/>
      <c r="S1276" s="3"/>
      <c r="V1276" s="3"/>
      <c r="W1276" s="3"/>
      <c r="X1276" s="3"/>
      <c r="Y1276" s="3"/>
      <c r="Z1276" s="3"/>
      <c r="AA1276" s="3"/>
      <c r="AB1276" s="3"/>
    </row>
    <row r="1277" spans="1:28" x14ac:dyDescent="0.3">
      <c r="A1277" s="2"/>
      <c r="F1277" s="3"/>
      <c r="G1277" s="3"/>
      <c r="N1277" s="3"/>
      <c r="Q1277" s="3"/>
      <c r="R1277" s="3"/>
      <c r="S1277" s="3"/>
      <c r="V1277" s="3"/>
      <c r="W1277" s="3"/>
      <c r="X1277" s="3"/>
      <c r="Y1277" s="3"/>
      <c r="Z1277" s="3"/>
      <c r="AA1277" s="3"/>
      <c r="AB1277" s="3"/>
    </row>
    <row r="1278" spans="1:28" x14ac:dyDescent="0.3">
      <c r="A1278" s="2"/>
      <c r="F1278" s="3"/>
      <c r="G1278" s="3"/>
      <c r="N1278" s="3"/>
      <c r="Q1278" s="3"/>
      <c r="R1278" s="3"/>
      <c r="S1278" s="3"/>
      <c r="V1278" s="3"/>
      <c r="W1278" s="3"/>
      <c r="X1278" s="3"/>
      <c r="Y1278" s="3"/>
      <c r="Z1278" s="3"/>
      <c r="AA1278" s="3"/>
      <c r="AB1278" s="3"/>
    </row>
    <row r="1279" spans="1:28" x14ac:dyDescent="0.3">
      <c r="A1279" s="2"/>
      <c r="F1279" s="3"/>
      <c r="G1279" s="3"/>
      <c r="N1279" s="3"/>
      <c r="Q1279" s="3"/>
      <c r="R1279" s="3"/>
      <c r="S1279" s="3"/>
      <c r="V1279" s="3"/>
      <c r="W1279" s="3"/>
      <c r="X1279" s="3"/>
      <c r="Y1279" s="3"/>
      <c r="Z1279" s="3"/>
      <c r="AA1279" s="3"/>
      <c r="AB1279" s="3"/>
    </row>
    <row r="1280" spans="1:28" x14ac:dyDescent="0.3">
      <c r="A1280" s="2"/>
      <c r="F1280" s="3"/>
      <c r="G1280" s="3"/>
      <c r="N1280" s="3"/>
      <c r="Q1280" s="3"/>
      <c r="R1280" s="3"/>
      <c r="S1280" s="3"/>
      <c r="V1280" s="3"/>
      <c r="W1280" s="3"/>
      <c r="X1280" s="3"/>
      <c r="Y1280" s="3"/>
      <c r="Z1280" s="3"/>
      <c r="AA1280" s="3"/>
      <c r="AB1280" s="3"/>
    </row>
    <row r="1281" spans="1:28" x14ac:dyDescent="0.3">
      <c r="A1281" s="2"/>
      <c r="F1281" s="3"/>
      <c r="G1281" s="3"/>
      <c r="N1281" s="3"/>
      <c r="Q1281" s="3"/>
      <c r="R1281" s="3"/>
      <c r="S1281" s="3"/>
      <c r="V1281" s="3"/>
      <c r="W1281" s="3"/>
      <c r="X1281" s="3"/>
      <c r="Y1281" s="3"/>
      <c r="Z1281" s="3"/>
      <c r="AA1281" s="3"/>
      <c r="AB1281" s="3"/>
    </row>
    <row r="1282" spans="1:28" x14ac:dyDescent="0.3">
      <c r="A1282" s="2"/>
      <c r="F1282" s="3"/>
      <c r="G1282" s="3"/>
      <c r="N1282" s="3"/>
      <c r="Q1282" s="3"/>
      <c r="R1282" s="3"/>
      <c r="S1282" s="3"/>
      <c r="V1282" s="3"/>
      <c r="W1282" s="3"/>
      <c r="X1282" s="3"/>
      <c r="Y1282" s="3"/>
      <c r="Z1282" s="3"/>
      <c r="AA1282" s="3"/>
      <c r="AB1282" s="3"/>
    </row>
    <row r="1283" spans="1:28" x14ac:dyDescent="0.3">
      <c r="A1283" s="2"/>
      <c r="F1283" s="3"/>
      <c r="G1283" s="3"/>
      <c r="N1283" s="3"/>
      <c r="Q1283" s="3"/>
      <c r="R1283" s="3"/>
      <c r="S1283" s="3"/>
      <c r="V1283" s="3"/>
      <c r="W1283" s="3"/>
      <c r="X1283" s="3"/>
      <c r="Y1283" s="3"/>
      <c r="Z1283" s="3"/>
      <c r="AA1283" s="3"/>
      <c r="AB1283" s="3"/>
    </row>
    <row r="1284" spans="1:28" x14ac:dyDescent="0.3">
      <c r="A1284" s="2"/>
      <c r="F1284" s="3"/>
      <c r="G1284" s="3"/>
      <c r="N1284" s="3"/>
      <c r="Q1284" s="3"/>
      <c r="R1284" s="3"/>
      <c r="S1284" s="3"/>
      <c r="V1284" s="3"/>
      <c r="W1284" s="3"/>
      <c r="X1284" s="3"/>
      <c r="Y1284" s="3"/>
      <c r="Z1284" s="3"/>
      <c r="AA1284" s="3"/>
      <c r="AB1284" s="3"/>
    </row>
    <row r="1285" spans="1:28" x14ac:dyDescent="0.3">
      <c r="A1285" s="2"/>
      <c r="F1285" s="3"/>
      <c r="G1285" s="3"/>
      <c r="N1285" s="3"/>
      <c r="Q1285" s="3"/>
      <c r="R1285" s="3"/>
      <c r="S1285" s="3"/>
      <c r="V1285" s="3"/>
      <c r="W1285" s="3"/>
      <c r="X1285" s="3"/>
      <c r="Y1285" s="3"/>
      <c r="Z1285" s="3"/>
      <c r="AA1285" s="3"/>
      <c r="AB1285" s="3"/>
    </row>
    <row r="1286" spans="1:28" x14ac:dyDescent="0.3">
      <c r="A1286" s="2"/>
      <c r="F1286" s="3"/>
      <c r="G1286" s="3"/>
      <c r="N1286" s="3"/>
      <c r="Q1286" s="3"/>
      <c r="R1286" s="3"/>
      <c r="S1286" s="3"/>
      <c r="V1286" s="3"/>
      <c r="W1286" s="3"/>
      <c r="X1286" s="3"/>
      <c r="Y1286" s="3"/>
      <c r="Z1286" s="3"/>
      <c r="AA1286" s="3"/>
      <c r="AB1286" s="3"/>
    </row>
    <row r="1287" spans="1:28" x14ac:dyDescent="0.3">
      <c r="A1287" s="2"/>
      <c r="F1287" s="3"/>
      <c r="G1287" s="3"/>
      <c r="N1287" s="3"/>
      <c r="Q1287" s="3"/>
      <c r="R1287" s="3"/>
      <c r="S1287" s="3"/>
      <c r="V1287" s="3"/>
      <c r="W1287" s="3"/>
      <c r="X1287" s="3"/>
      <c r="Y1287" s="3"/>
      <c r="Z1287" s="3"/>
      <c r="AA1287" s="3"/>
      <c r="AB1287" s="3"/>
    </row>
    <row r="1288" spans="1:28" x14ac:dyDescent="0.3">
      <c r="A1288" s="2"/>
      <c r="F1288" s="3"/>
      <c r="G1288" s="3"/>
      <c r="N1288" s="3"/>
      <c r="Q1288" s="3"/>
      <c r="R1288" s="3"/>
      <c r="S1288" s="3"/>
      <c r="V1288" s="3"/>
      <c r="W1288" s="3"/>
      <c r="X1288" s="3"/>
      <c r="Y1288" s="3"/>
      <c r="Z1288" s="3"/>
      <c r="AA1288" s="3"/>
      <c r="AB1288" s="3"/>
    </row>
    <row r="1289" spans="1:28" x14ac:dyDescent="0.3">
      <c r="A1289" s="2"/>
      <c r="F1289" s="3"/>
      <c r="G1289" s="3"/>
      <c r="N1289" s="3"/>
      <c r="Q1289" s="3"/>
      <c r="R1289" s="3"/>
      <c r="S1289" s="3"/>
      <c r="V1289" s="3"/>
      <c r="W1289" s="3"/>
      <c r="X1289" s="3"/>
      <c r="Y1289" s="3"/>
      <c r="Z1289" s="3"/>
      <c r="AA1289" s="3"/>
      <c r="AB1289" s="3"/>
    </row>
    <row r="1290" spans="1:28" x14ac:dyDescent="0.3">
      <c r="A1290" s="2"/>
      <c r="F1290" s="3"/>
      <c r="G1290" s="3"/>
      <c r="N1290" s="3"/>
      <c r="Q1290" s="3"/>
      <c r="R1290" s="3"/>
      <c r="S1290" s="3"/>
      <c r="V1290" s="3"/>
      <c r="W1290" s="3"/>
      <c r="X1290" s="3"/>
      <c r="Y1290" s="3"/>
      <c r="Z1290" s="3"/>
      <c r="AA1290" s="3"/>
      <c r="AB1290" s="3"/>
    </row>
    <row r="1291" spans="1:28" x14ac:dyDescent="0.3">
      <c r="A1291" s="2"/>
      <c r="F1291" s="3"/>
      <c r="G1291" s="3"/>
      <c r="N1291" s="3"/>
      <c r="Q1291" s="3"/>
      <c r="R1291" s="3"/>
      <c r="S1291" s="3"/>
      <c r="V1291" s="3"/>
      <c r="W1291" s="3"/>
      <c r="X1291" s="3"/>
      <c r="Y1291" s="3"/>
      <c r="Z1291" s="3"/>
      <c r="AA1291" s="3"/>
      <c r="AB1291" s="3"/>
    </row>
    <row r="1292" spans="1:28" x14ac:dyDescent="0.3">
      <c r="A1292" s="2"/>
      <c r="F1292" s="3"/>
      <c r="G1292" s="3"/>
      <c r="N1292" s="3"/>
      <c r="Q1292" s="3"/>
      <c r="R1292" s="3"/>
      <c r="S1292" s="3"/>
      <c r="V1292" s="3"/>
      <c r="W1292" s="3"/>
      <c r="X1292" s="3"/>
      <c r="Y1292" s="3"/>
      <c r="Z1292" s="3"/>
      <c r="AA1292" s="3"/>
      <c r="AB1292" s="3"/>
    </row>
    <row r="1293" spans="1:28" x14ac:dyDescent="0.3">
      <c r="A1293" s="2"/>
      <c r="F1293" s="3"/>
      <c r="G1293" s="3"/>
      <c r="N1293" s="3"/>
      <c r="Q1293" s="3"/>
      <c r="R1293" s="3"/>
      <c r="S1293" s="3"/>
      <c r="V1293" s="3"/>
      <c r="W1293" s="3"/>
      <c r="X1293" s="3"/>
      <c r="Y1293" s="3"/>
      <c r="Z1293" s="3"/>
      <c r="AA1293" s="3"/>
      <c r="AB1293" s="3"/>
    </row>
    <row r="1294" spans="1:28" x14ac:dyDescent="0.3">
      <c r="A1294" s="2"/>
      <c r="F1294" s="3"/>
      <c r="G1294" s="3"/>
      <c r="N1294" s="3"/>
      <c r="Q1294" s="3"/>
      <c r="R1294" s="3"/>
      <c r="S1294" s="3"/>
      <c r="V1294" s="3"/>
      <c r="W1294" s="3"/>
      <c r="X1294" s="3"/>
      <c r="Y1294" s="3"/>
      <c r="Z1294" s="3"/>
      <c r="AA1294" s="3"/>
      <c r="AB1294" s="3"/>
    </row>
    <row r="1295" spans="1:28" x14ac:dyDescent="0.3">
      <c r="A1295" s="2"/>
      <c r="F1295" s="3"/>
      <c r="G1295" s="3"/>
      <c r="N1295" s="3"/>
      <c r="Q1295" s="3"/>
      <c r="R1295" s="3"/>
      <c r="S1295" s="3"/>
      <c r="V1295" s="3"/>
      <c r="W1295" s="3"/>
      <c r="X1295" s="3"/>
      <c r="Y1295" s="3"/>
      <c r="Z1295" s="3"/>
      <c r="AA1295" s="3"/>
      <c r="AB1295" s="3"/>
    </row>
    <row r="1296" spans="1:28" x14ac:dyDescent="0.3">
      <c r="A1296" s="2"/>
      <c r="F1296" s="3"/>
      <c r="G1296" s="3"/>
      <c r="N1296" s="3"/>
      <c r="Q1296" s="3"/>
      <c r="R1296" s="3"/>
      <c r="S1296" s="3"/>
      <c r="V1296" s="3"/>
      <c r="W1296" s="3"/>
      <c r="X1296" s="3"/>
      <c r="Y1296" s="3"/>
      <c r="Z1296" s="3"/>
      <c r="AA1296" s="3"/>
      <c r="AB1296" s="3"/>
    </row>
    <row r="1297" spans="1:28" x14ac:dyDescent="0.3">
      <c r="A1297" s="2"/>
      <c r="F1297" s="3"/>
      <c r="G1297" s="3"/>
      <c r="N1297" s="3"/>
      <c r="Q1297" s="3"/>
      <c r="R1297" s="3"/>
      <c r="S1297" s="3"/>
      <c r="V1297" s="3"/>
      <c r="W1297" s="3"/>
      <c r="X1297" s="3"/>
      <c r="Y1297" s="3"/>
      <c r="Z1297" s="3"/>
      <c r="AA1297" s="3"/>
      <c r="AB1297" s="3"/>
    </row>
    <row r="1298" spans="1:28" x14ac:dyDescent="0.3">
      <c r="A1298" s="2"/>
      <c r="F1298" s="3"/>
      <c r="G1298" s="3"/>
      <c r="N1298" s="3"/>
      <c r="Q1298" s="3"/>
      <c r="R1298" s="3"/>
      <c r="S1298" s="3"/>
      <c r="V1298" s="3"/>
      <c r="W1298" s="3"/>
      <c r="X1298" s="3"/>
      <c r="Y1298" s="3"/>
      <c r="Z1298" s="3"/>
      <c r="AA1298" s="3"/>
      <c r="AB1298" s="3"/>
    </row>
    <row r="1299" spans="1:28" x14ac:dyDescent="0.3">
      <c r="A1299" s="2"/>
      <c r="F1299" s="3"/>
      <c r="G1299" s="3"/>
      <c r="N1299" s="3"/>
      <c r="Q1299" s="3"/>
      <c r="R1299" s="3"/>
      <c r="S1299" s="3"/>
      <c r="V1299" s="3"/>
      <c r="W1299" s="3"/>
      <c r="X1299" s="3"/>
      <c r="Y1299" s="3"/>
      <c r="Z1299" s="3"/>
      <c r="AA1299" s="3"/>
      <c r="AB1299" s="3"/>
    </row>
    <row r="1300" spans="1:28" x14ac:dyDescent="0.3">
      <c r="A1300" s="2"/>
      <c r="F1300" s="3"/>
      <c r="G1300" s="3"/>
      <c r="N1300" s="3"/>
      <c r="Q1300" s="3"/>
      <c r="R1300" s="3"/>
      <c r="S1300" s="3"/>
      <c r="V1300" s="3"/>
      <c r="W1300" s="3"/>
      <c r="X1300" s="3"/>
      <c r="Y1300" s="3"/>
      <c r="Z1300" s="3"/>
      <c r="AA1300" s="3"/>
      <c r="AB1300" s="3"/>
    </row>
    <row r="1301" spans="1:28" x14ac:dyDescent="0.3">
      <c r="A1301" s="2"/>
      <c r="F1301" s="3"/>
      <c r="G1301" s="3"/>
      <c r="N1301" s="3"/>
      <c r="Q1301" s="3"/>
      <c r="R1301" s="3"/>
      <c r="S1301" s="3"/>
      <c r="V1301" s="3"/>
      <c r="W1301" s="3"/>
      <c r="X1301" s="3"/>
      <c r="Y1301" s="3"/>
      <c r="Z1301" s="3"/>
      <c r="AA1301" s="3"/>
      <c r="AB1301" s="3"/>
    </row>
    <row r="1302" spans="1:28" x14ac:dyDescent="0.3">
      <c r="A1302" s="2"/>
      <c r="F1302" s="3"/>
      <c r="G1302" s="3"/>
      <c r="N1302" s="3"/>
      <c r="Q1302" s="3"/>
      <c r="R1302" s="3"/>
      <c r="S1302" s="3"/>
      <c r="V1302" s="3"/>
      <c r="W1302" s="3"/>
      <c r="X1302" s="3"/>
      <c r="Y1302" s="3"/>
      <c r="Z1302" s="3"/>
      <c r="AA1302" s="3"/>
      <c r="AB1302" s="3"/>
    </row>
    <row r="1303" spans="1:28" x14ac:dyDescent="0.3">
      <c r="A1303" s="2"/>
      <c r="F1303" s="3"/>
      <c r="G1303" s="3"/>
      <c r="N1303" s="3"/>
      <c r="Q1303" s="3"/>
      <c r="R1303" s="3"/>
      <c r="S1303" s="3"/>
      <c r="V1303" s="3"/>
      <c r="W1303" s="3"/>
      <c r="X1303" s="3"/>
      <c r="Y1303" s="3"/>
      <c r="Z1303" s="3"/>
      <c r="AA1303" s="3"/>
      <c r="AB1303" s="3"/>
    </row>
    <row r="1304" spans="1:28" x14ac:dyDescent="0.3">
      <c r="A1304" s="2"/>
      <c r="F1304" s="3"/>
      <c r="G1304" s="3"/>
      <c r="N1304" s="3"/>
      <c r="Q1304" s="3"/>
      <c r="R1304" s="3"/>
      <c r="S1304" s="3"/>
      <c r="V1304" s="3"/>
      <c r="W1304" s="3"/>
      <c r="X1304" s="3"/>
      <c r="Y1304" s="3"/>
      <c r="Z1304" s="3"/>
      <c r="AA1304" s="3"/>
      <c r="AB1304" s="3"/>
    </row>
    <row r="1305" spans="1:28" x14ac:dyDescent="0.3">
      <c r="A1305" s="2"/>
      <c r="F1305" s="3"/>
      <c r="G1305" s="3"/>
      <c r="N1305" s="3"/>
      <c r="Q1305" s="3"/>
      <c r="R1305" s="3"/>
      <c r="S1305" s="3"/>
      <c r="V1305" s="3"/>
      <c r="W1305" s="3"/>
      <c r="X1305" s="3"/>
      <c r="Y1305" s="3"/>
      <c r="Z1305" s="3"/>
      <c r="AA1305" s="3"/>
      <c r="AB1305" s="3"/>
    </row>
    <row r="1306" spans="1:28" x14ac:dyDescent="0.3">
      <c r="A1306" s="2"/>
      <c r="F1306" s="3"/>
      <c r="G1306" s="3"/>
      <c r="N1306" s="3"/>
      <c r="Q1306" s="3"/>
      <c r="R1306" s="3"/>
      <c r="S1306" s="3"/>
      <c r="V1306" s="3"/>
      <c r="W1306" s="3"/>
      <c r="X1306" s="3"/>
      <c r="Y1306" s="3"/>
      <c r="Z1306" s="3"/>
      <c r="AA1306" s="3"/>
      <c r="AB1306" s="3"/>
    </row>
    <row r="1307" spans="1:28" x14ac:dyDescent="0.3">
      <c r="A1307" s="2"/>
      <c r="F1307" s="3"/>
      <c r="G1307" s="3"/>
      <c r="N1307" s="3"/>
      <c r="Q1307" s="3"/>
      <c r="R1307" s="3"/>
      <c r="S1307" s="3"/>
      <c r="V1307" s="3"/>
      <c r="W1307" s="3"/>
      <c r="X1307" s="3"/>
      <c r="Y1307" s="3"/>
      <c r="Z1307" s="3"/>
      <c r="AA1307" s="3"/>
      <c r="AB1307" s="3"/>
    </row>
    <row r="1308" spans="1:28" x14ac:dyDescent="0.3">
      <c r="A1308" s="2"/>
      <c r="F1308" s="3"/>
      <c r="G1308" s="3"/>
      <c r="N1308" s="3"/>
      <c r="Q1308" s="3"/>
      <c r="R1308" s="3"/>
      <c r="S1308" s="3"/>
      <c r="V1308" s="3"/>
      <c r="W1308" s="3"/>
      <c r="X1308" s="3"/>
      <c r="Y1308" s="3"/>
      <c r="Z1308" s="3"/>
      <c r="AA1308" s="3"/>
      <c r="AB1308" s="3"/>
    </row>
    <row r="1309" spans="1:28" x14ac:dyDescent="0.3">
      <c r="A1309" s="2"/>
      <c r="F1309" s="3"/>
      <c r="G1309" s="3"/>
      <c r="N1309" s="3"/>
      <c r="Q1309" s="3"/>
      <c r="R1309" s="3"/>
      <c r="S1309" s="3"/>
      <c r="V1309" s="3"/>
      <c r="W1309" s="3"/>
      <c r="X1309" s="3"/>
      <c r="Y1309" s="3"/>
      <c r="Z1309" s="3"/>
      <c r="AA1309" s="3"/>
      <c r="AB1309" s="3"/>
    </row>
    <row r="1310" spans="1:28" x14ac:dyDescent="0.3">
      <c r="A1310" s="2"/>
      <c r="F1310" s="3"/>
      <c r="G1310" s="3"/>
      <c r="N1310" s="3"/>
      <c r="Q1310" s="3"/>
      <c r="R1310" s="3"/>
      <c r="S1310" s="3"/>
      <c r="V1310" s="3"/>
      <c r="W1310" s="3"/>
      <c r="X1310" s="3"/>
      <c r="Y1310" s="3"/>
      <c r="Z1310" s="3"/>
      <c r="AA1310" s="3"/>
      <c r="AB1310" s="3"/>
    </row>
    <row r="1311" spans="1:28" x14ac:dyDescent="0.3">
      <c r="A1311" s="2"/>
      <c r="F1311" s="3"/>
      <c r="G1311" s="3"/>
      <c r="N1311" s="3"/>
      <c r="Q1311" s="3"/>
      <c r="R1311" s="3"/>
      <c r="S1311" s="3"/>
      <c r="V1311" s="3"/>
      <c r="W1311" s="3"/>
      <c r="X1311" s="3"/>
      <c r="Y1311" s="3"/>
      <c r="Z1311" s="3"/>
      <c r="AA1311" s="3"/>
      <c r="AB1311" s="3"/>
    </row>
    <row r="1312" spans="1:28" x14ac:dyDescent="0.3">
      <c r="A1312" s="2"/>
      <c r="F1312" s="3"/>
      <c r="G1312" s="3"/>
      <c r="N1312" s="3"/>
      <c r="Q1312" s="3"/>
      <c r="R1312" s="3"/>
      <c r="S1312" s="3"/>
      <c r="V1312" s="3"/>
      <c r="W1312" s="3"/>
      <c r="X1312" s="3"/>
      <c r="Y1312" s="3"/>
      <c r="Z1312" s="3"/>
      <c r="AA1312" s="3"/>
      <c r="AB1312" s="3"/>
    </row>
    <row r="1313" spans="1:28" x14ac:dyDescent="0.3">
      <c r="A1313" s="2"/>
      <c r="F1313" s="3"/>
      <c r="G1313" s="3"/>
      <c r="N1313" s="3"/>
      <c r="Q1313" s="3"/>
      <c r="R1313" s="3"/>
      <c r="S1313" s="3"/>
      <c r="V1313" s="3"/>
      <c r="W1313" s="3"/>
      <c r="X1313" s="3"/>
      <c r="Y1313" s="3"/>
      <c r="Z1313" s="3"/>
      <c r="AA1313" s="3"/>
      <c r="AB1313" s="3"/>
    </row>
    <row r="1314" spans="1:28" x14ac:dyDescent="0.3">
      <c r="A1314" s="2"/>
      <c r="F1314" s="3"/>
      <c r="G1314" s="3"/>
      <c r="N1314" s="3"/>
      <c r="Q1314" s="3"/>
      <c r="R1314" s="3"/>
      <c r="S1314" s="3"/>
      <c r="V1314" s="3"/>
      <c r="W1314" s="3"/>
      <c r="X1314" s="3"/>
      <c r="Y1314" s="3"/>
      <c r="Z1314" s="3"/>
      <c r="AA1314" s="3"/>
      <c r="AB1314" s="3"/>
    </row>
    <row r="1315" spans="1:28" x14ac:dyDescent="0.3">
      <c r="A1315" s="2"/>
      <c r="F1315" s="3"/>
      <c r="G1315" s="3"/>
      <c r="N1315" s="3"/>
      <c r="Q1315" s="3"/>
      <c r="R1315" s="3"/>
      <c r="S1315" s="3"/>
      <c r="V1315" s="3"/>
      <c r="W1315" s="3"/>
      <c r="X1315" s="3"/>
      <c r="Y1315" s="3"/>
      <c r="Z1315" s="3"/>
      <c r="AA1315" s="3"/>
      <c r="AB1315" s="3"/>
    </row>
    <row r="1316" spans="1:28" x14ac:dyDescent="0.3">
      <c r="A1316" s="2"/>
      <c r="F1316" s="3"/>
      <c r="G1316" s="3"/>
      <c r="N1316" s="3"/>
      <c r="Q1316" s="3"/>
      <c r="R1316" s="3"/>
      <c r="S1316" s="3"/>
      <c r="V1316" s="3"/>
      <c r="W1316" s="3"/>
      <c r="X1316" s="3"/>
      <c r="Y1316" s="3"/>
      <c r="Z1316" s="3"/>
      <c r="AA1316" s="3"/>
      <c r="AB1316" s="3"/>
    </row>
    <row r="1317" spans="1:28" x14ac:dyDescent="0.3">
      <c r="A1317" s="2"/>
      <c r="F1317" s="3"/>
      <c r="G1317" s="3"/>
      <c r="N1317" s="3"/>
      <c r="Q1317" s="3"/>
      <c r="R1317" s="3"/>
      <c r="S1317" s="3"/>
      <c r="V1317" s="3"/>
      <c r="W1317" s="3"/>
      <c r="X1317" s="3"/>
      <c r="Y1317" s="3"/>
      <c r="Z1317" s="3"/>
      <c r="AA1317" s="3"/>
      <c r="AB1317" s="3"/>
    </row>
    <row r="1318" spans="1:28" x14ac:dyDescent="0.3">
      <c r="A1318" s="2"/>
      <c r="F1318" s="3"/>
      <c r="G1318" s="3"/>
      <c r="N1318" s="3"/>
      <c r="Q1318" s="3"/>
      <c r="R1318" s="3"/>
      <c r="S1318" s="3"/>
      <c r="V1318" s="3"/>
      <c r="W1318" s="3"/>
      <c r="X1318" s="3"/>
      <c r="Y1318" s="3"/>
      <c r="Z1318" s="3"/>
      <c r="AA1318" s="3"/>
      <c r="AB1318" s="3"/>
    </row>
    <row r="1319" spans="1:28" x14ac:dyDescent="0.3">
      <c r="A1319" s="2"/>
      <c r="F1319" s="3"/>
      <c r="G1319" s="3"/>
      <c r="N1319" s="3"/>
      <c r="Q1319" s="3"/>
      <c r="R1319" s="3"/>
      <c r="S1319" s="3"/>
      <c r="V1319" s="3"/>
      <c r="W1319" s="3"/>
      <c r="X1319" s="3"/>
      <c r="Y1319" s="3"/>
      <c r="Z1319" s="3"/>
      <c r="AA1319" s="3"/>
      <c r="AB1319" s="3"/>
    </row>
    <row r="1320" spans="1:28" x14ac:dyDescent="0.3">
      <c r="A1320" s="2"/>
      <c r="F1320" s="3"/>
      <c r="G1320" s="3"/>
      <c r="N1320" s="3"/>
      <c r="Q1320" s="3"/>
      <c r="R1320" s="3"/>
      <c r="S1320" s="3"/>
      <c r="V1320" s="3"/>
      <c r="W1320" s="3"/>
      <c r="X1320" s="3"/>
      <c r="Y1320" s="3"/>
      <c r="Z1320" s="3"/>
      <c r="AA1320" s="3"/>
      <c r="AB1320" s="3"/>
    </row>
    <row r="1321" spans="1:28" x14ac:dyDescent="0.3">
      <c r="A1321" s="2"/>
      <c r="F1321" s="3"/>
      <c r="G1321" s="3"/>
      <c r="N1321" s="3"/>
      <c r="Q1321" s="3"/>
      <c r="R1321" s="3"/>
      <c r="S1321" s="3"/>
      <c r="V1321" s="3"/>
      <c r="W1321" s="3"/>
      <c r="X1321" s="3"/>
      <c r="Y1321" s="3"/>
      <c r="Z1321" s="3"/>
      <c r="AA1321" s="3"/>
      <c r="AB1321" s="3"/>
    </row>
    <row r="1322" spans="1:28" x14ac:dyDescent="0.3">
      <c r="A1322" s="2"/>
      <c r="F1322" s="3"/>
      <c r="G1322" s="3"/>
      <c r="N1322" s="3"/>
      <c r="Q1322" s="3"/>
      <c r="R1322" s="3"/>
      <c r="S1322" s="3"/>
      <c r="V1322" s="3"/>
      <c r="W1322" s="3"/>
      <c r="X1322" s="3"/>
      <c r="Y1322" s="3"/>
      <c r="Z1322" s="3"/>
      <c r="AA1322" s="3"/>
      <c r="AB1322" s="3"/>
    </row>
    <row r="1323" spans="1:28" x14ac:dyDescent="0.3">
      <c r="A1323" s="2"/>
      <c r="F1323" s="3"/>
      <c r="G1323" s="3"/>
      <c r="N1323" s="3"/>
      <c r="Q1323" s="3"/>
      <c r="R1323" s="3"/>
      <c r="S1323" s="3"/>
      <c r="V1323" s="3"/>
      <c r="W1323" s="3"/>
      <c r="X1323" s="3"/>
      <c r="Y1323" s="3"/>
      <c r="Z1323" s="3"/>
      <c r="AA1323" s="3"/>
      <c r="AB1323" s="3"/>
    </row>
    <row r="1324" spans="1:28" x14ac:dyDescent="0.3">
      <c r="A1324" s="2"/>
      <c r="F1324" s="3"/>
      <c r="G1324" s="3"/>
      <c r="N1324" s="3"/>
      <c r="Q1324" s="3"/>
      <c r="R1324" s="3"/>
      <c r="S1324" s="3"/>
      <c r="V1324" s="3"/>
      <c r="W1324" s="3"/>
      <c r="X1324" s="3"/>
      <c r="Y1324" s="3"/>
      <c r="Z1324" s="3"/>
      <c r="AA1324" s="3"/>
      <c r="AB1324" s="3"/>
    </row>
    <row r="1325" spans="1:28" x14ac:dyDescent="0.3">
      <c r="A1325" s="2"/>
      <c r="F1325" s="3"/>
      <c r="G1325" s="3"/>
      <c r="N1325" s="3"/>
      <c r="Q1325" s="3"/>
      <c r="R1325" s="3"/>
      <c r="S1325" s="3"/>
      <c r="V1325" s="3"/>
      <c r="W1325" s="3"/>
      <c r="X1325" s="3"/>
      <c r="Y1325" s="3"/>
      <c r="Z1325" s="3"/>
      <c r="AA1325" s="3"/>
      <c r="AB1325" s="3"/>
    </row>
    <row r="1326" spans="1:28" x14ac:dyDescent="0.3">
      <c r="A1326" s="2"/>
      <c r="F1326" s="3"/>
      <c r="G1326" s="3"/>
      <c r="N1326" s="3"/>
      <c r="Q1326" s="3"/>
      <c r="R1326" s="3"/>
      <c r="S1326" s="3"/>
      <c r="V1326" s="3"/>
      <c r="W1326" s="3"/>
      <c r="X1326" s="3"/>
      <c r="Y1326" s="3"/>
      <c r="Z1326" s="3"/>
      <c r="AA1326" s="3"/>
      <c r="AB1326" s="3"/>
    </row>
    <row r="1327" spans="1:28" x14ac:dyDescent="0.3">
      <c r="A1327" s="2"/>
      <c r="F1327" s="3"/>
      <c r="G1327" s="3"/>
      <c r="N1327" s="3"/>
      <c r="Q1327" s="3"/>
      <c r="R1327" s="3"/>
      <c r="S1327" s="3"/>
      <c r="V1327" s="3"/>
      <c r="W1327" s="3"/>
      <c r="X1327" s="3"/>
      <c r="Y1327" s="3"/>
      <c r="Z1327" s="3"/>
      <c r="AA1327" s="3"/>
      <c r="AB1327" s="3"/>
    </row>
    <row r="1328" spans="1:28" x14ac:dyDescent="0.3">
      <c r="A1328" s="2"/>
      <c r="F1328" s="3"/>
      <c r="G1328" s="3"/>
      <c r="N1328" s="3"/>
      <c r="Q1328" s="3"/>
      <c r="R1328" s="3"/>
      <c r="S1328" s="3"/>
      <c r="V1328" s="3"/>
      <c r="W1328" s="3"/>
      <c r="X1328" s="3"/>
      <c r="Y1328" s="3"/>
      <c r="Z1328" s="3"/>
      <c r="AA1328" s="3"/>
      <c r="AB1328" s="3"/>
    </row>
    <row r="1329" spans="1:28" x14ac:dyDescent="0.3">
      <c r="A1329" s="2"/>
      <c r="F1329" s="3"/>
      <c r="G1329" s="3"/>
      <c r="N1329" s="3"/>
      <c r="Q1329" s="3"/>
      <c r="R1329" s="3"/>
      <c r="S1329" s="3"/>
      <c r="V1329" s="3"/>
      <c r="W1329" s="3"/>
      <c r="X1329" s="3"/>
      <c r="Y1329" s="3"/>
      <c r="Z1329" s="3"/>
      <c r="AA1329" s="3"/>
      <c r="AB1329" s="3"/>
    </row>
    <row r="1330" spans="1:28" x14ac:dyDescent="0.3">
      <c r="A1330" s="2"/>
      <c r="F1330" s="3"/>
      <c r="G1330" s="3"/>
      <c r="N1330" s="3"/>
      <c r="Q1330" s="3"/>
      <c r="R1330" s="3"/>
      <c r="S1330" s="3"/>
      <c r="V1330" s="3"/>
      <c r="W1330" s="3"/>
      <c r="X1330" s="3"/>
      <c r="Y1330" s="3"/>
      <c r="Z1330" s="3"/>
      <c r="AA1330" s="3"/>
      <c r="AB1330" s="3"/>
    </row>
    <row r="1331" spans="1:28" x14ac:dyDescent="0.3">
      <c r="A1331" s="2"/>
      <c r="F1331" s="3"/>
      <c r="G1331" s="3"/>
      <c r="N1331" s="3"/>
      <c r="Q1331" s="3"/>
      <c r="R1331" s="3"/>
      <c r="S1331" s="3"/>
      <c r="V1331" s="3"/>
      <c r="W1331" s="3"/>
      <c r="X1331" s="3"/>
      <c r="Y1331" s="3"/>
      <c r="Z1331" s="3"/>
      <c r="AA1331" s="3"/>
      <c r="AB1331" s="3"/>
    </row>
    <row r="1332" spans="1:28" x14ac:dyDescent="0.3">
      <c r="A1332" s="2"/>
      <c r="F1332" s="3"/>
      <c r="G1332" s="3"/>
      <c r="N1332" s="3"/>
      <c r="Q1332" s="3"/>
      <c r="R1332" s="3"/>
      <c r="S1332" s="3"/>
      <c r="V1332" s="3"/>
      <c r="W1332" s="3"/>
      <c r="X1332" s="3"/>
      <c r="Y1332" s="3"/>
      <c r="Z1332" s="3"/>
      <c r="AA1332" s="3"/>
      <c r="AB1332" s="3"/>
    </row>
    <row r="1333" spans="1:28" x14ac:dyDescent="0.3">
      <c r="A1333" s="2"/>
      <c r="F1333" s="3"/>
      <c r="G1333" s="3"/>
      <c r="N1333" s="3"/>
      <c r="Q1333" s="3"/>
      <c r="R1333" s="3"/>
      <c r="S1333" s="3"/>
      <c r="V1333" s="3"/>
      <c r="W1333" s="3"/>
      <c r="X1333" s="3"/>
      <c r="Y1333" s="3"/>
      <c r="Z1333" s="3"/>
      <c r="AA1333" s="3"/>
      <c r="AB1333" s="3"/>
    </row>
    <row r="1334" spans="1:28" x14ac:dyDescent="0.3">
      <c r="A1334" s="2"/>
      <c r="F1334" s="3"/>
      <c r="G1334" s="3"/>
      <c r="N1334" s="3"/>
      <c r="Q1334" s="3"/>
      <c r="R1334" s="3"/>
      <c r="S1334" s="3"/>
      <c r="V1334" s="3"/>
      <c r="W1334" s="3"/>
      <c r="X1334" s="3"/>
      <c r="Y1334" s="3"/>
      <c r="Z1334" s="3"/>
      <c r="AA1334" s="3"/>
      <c r="AB1334" s="3"/>
    </row>
    <row r="1335" spans="1:28" x14ac:dyDescent="0.3">
      <c r="A1335" s="2"/>
      <c r="F1335" s="3"/>
      <c r="G1335" s="3"/>
      <c r="N1335" s="3"/>
      <c r="Q1335" s="3"/>
      <c r="R1335" s="3"/>
      <c r="S1335" s="3"/>
      <c r="V1335" s="3"/>
      <c r="W1335" s="3"/>
      <c r="X1335" s="3"/>
      <c r="Y1335" s="3"/>
      <c r="Z1335" s="3"/>
      <c r="AA1335" s="3"/>
      <c r="AB1335" s="3"/>
    </row>
    <row r="1336" spans="1:28" x14ac:dyDescent="0.3">
      <c r="A1336" s="2"/>
      <c r="F1336" s="3"/>
      <c r="G1336" s="3"/>
      <c r="N1336" s="3"/>
      <c r="Q1336" s="3"/>
      <c r="R1336" s="3"/>
      <c r="S1336" s="3"/>
      <c r="V1336" s="3"/>
      <c r="W1336" s="3"/>
      <c r="X1336" s="3"/>
      <c r="Y1336" s="3"/>
      <c r="Z1336" s="3"/>
      <c r="AA1336" s="3"/>
      <c r="AB1336" s="3"/>
    </row>
    <row r="1337" spans="1:28" x14ac:dyDescent="0.3">
      <c r="A1337" s="2"/>
      <c r="F1337" s="3"/>
      <c r="G1337" s="3"/>
      <c r="N1337" s="3"/>
      <c r="Q1337" s="3"/>
      <c r="R1337" s="3"/>
      <c r="S1337" s="3"/>
      <c r="V1337" s="3"/>
      <c r="W1337" s="3"/>
      <c r="X1337" s="3"/>
      <c r="Y1337" s="3"/>
      <c r="Z1337" s="3"/>
      <c r="AA1337" s="3"/>
      <c r="AB1337" s="3"/>
    </row>
    <row r="1338" spans="1:28" x14ac:dyDescent="0.3">
      <c r="A1338" s="2"/>
      <c r="F1338" s="3"/>
      <c r="G1338" s="3"/>
      <c r="N1338" s="3"/>
      <c r="Q1338" s="3"/>
      <c r="R1338" s="3"/>
      <c r="S1338" s="3"/>
      <c r="V1338" s="3"/>
      <c r="W1338" s="3"/>
      <c r="X1338" s="3"/>
      <c r="Y1338" s="3"/>
      <c r="Z1338" s="3"/>
      <c r="AA1338" s="3"/>
      <c r="AB1338" s="3"/>
    </row>
    <row r="1339" spans="1:28" x14ac:dyDescent="0.3">
      <c r="A1339" s="2"/>
      <c r="F1339" s="3"/>
      <c r="G1339" s="3"/>
      <c r="N1339" s="3"/>
      <c r="Q1339" s="3"/>
      <c r="R1339" s="3"/>
      <c r="S1339" s="3"/>
      <c r="V1339" s="3"/>
      <c r="W1339" s="3"/>
      <c r="X1339" s="3"/>
      <c r="Y1339" s="3"/>
      <c r="Z1339" s="3"/>
      <c r="AA1339" s="3"/>
      <c r="AB1339" s="3"/>
    </row>
    <row r="1340" spans="1:28" x14ac:dyDescent="0.3">
      <c r="A1340" s="2"/>
      <c r="F1340" s="3"/>
      <c r="G1340" s="3"/>
      <c r="N1340" s="3"/>
      <c r="Q1340" s="3"/>
      <c r="R1340" s="3"/>
      <c r="S1340" s="3"/>
      <c r="V1340" s="3"/>
      <c r="W1340" s="3"/>
      <c r="X1340" s="3"/>
      <c r="Y1340" s="3"/>
      <c r="Z1340" s="3"/>
      <c r="AA1340" s="3"/>
      <c r="AB1340" s="3"/>
    </row>
    <row r="1341" spans="1:28" x14ac:dyDescent="0.3">
      <c r="A1341" s="2"/>
      <c r="F1341" s="3"/>
      <c r="G1341" s="3"/>
      <c r="N1341" s="3"/>
      <c r="Q1341" s="3"/>
      <c r="R1341" s="3"/>
      <c r="S1341" s="3"/>
      <c r="V1341" s="3"/>
      <c r="W1341" s="3"/>
      <c r="X1341" s="3"/>
      <c r="Y1341" s="3"/>
      <c r="Z1341" s="3"/>
      <c r="AA1341" s="3"/>
      <c r="AB1341" s="3"/>
    </row>
    <row r="1342" spans="1:28" x14ac:dyDescent="0.3">
      <c r="A1342" s="2"/>
      <c r="F1342" s="3"/>
      <c r="G1342" s="3"/>
      <c r="N1342" s="3"/>
      <c r="Q1342" s="3"/>
      <c r="R1342" s="3"/>
      <c r="S1342" s="3"/>
      <c r="V1342" s="3"/>
      <c r="W1342" s="3"/>
      <c r="X1342" s="3"/>
      <c r="Y1342" s="3"/>
      <c r="Z1342" s="3"/>
      <c r="AA1342" s="3"/>
      <c r="AB1342" s="3"/>
    </row>
    <row r="1343" spans="1:28" x14ac:dyDescent="0.3">
      <c r="A1343" s="2"/>
      <c r="F1343" s="3"/>
      <c r="G1343" s="3"/>
      <c r="N1343" s="3"/>
      <c r="Q1343" s="3"/>
      <c r="R1343" s="3"/>
      <c r="S1343" s="3"/>
      <c r="V1343" s="3"/>
      <c r="W1343" s="3"/>
      <c r="X1343" s="3"/>
      <c r="Y1343" s="3"/>
      <c r="Z1343" s="3"/>
      <c r="AA1343" s="3"/>
      <c r="AB1343" s="3"/>
    </row>
    <row r="1344" spans="1:28" x14ac:dyDescent="0.3">
      <c r="A1344" s="2"/>
      <c r="F1344" s="3"/>
      <c r="G1344" s="3"/>
      <c r="N1344" s="3"/>
      <c r="Q1344" s="3"/>
      <c r="R1344" s="3"/>
      <c r="S1344" s="3"/>
      <c r="V1344" s="3"/>
      <c r="W1344" s="3"/>
      <c r="X1344" s="3"/>
      <c r="Y1344" s="3"/>
      <c r="Z1344" s="3"/>
      <c r="AA1344" s="3"/>
      <c r="AB1344" s="3"/>
    </row>
    <row r="1345" spans="1:28" x14ac:dyDescent="0.3">
      <c r="A1345" s="2"/>
      <c r="F1345" s="3"/>
      <c r="G1345" s="3"/>
      <c r="N1345" s="3"/>
      <c r="Q1345" s="3"/>
      <c r="R1345" s="3"/>
      <c r="S1345" s="3"/>
      <c r="V1345" s="3"/>
      <c r="W1345" s="3"/>
      <c r="X1345" s="3"/>
      <c r="Y1345" s="3"/>
      <c r="Z1345" s="3"/>
      <c r="AA1345" s="3"/>
      <c r="AB1345" s="3"/>
    </row>
    <row r="1346" spans="1:28" x14ac:dyDescent="0.3">
      <c r="A1346" s="2"/>
      <c r="F1346" s="3"/>
      <c r="G1346" s="3"/>
      <c r="N1346" s="3"/>
      <c r="Q1346" s="3"/>
      <c r="R1346" s="3"/>
      <c r="S1346" s="3"/>
      <c r="V1346" s="3"/>
      <c r="W1346" s="3"/>
      <c r="X1346" s="3"/>
      <c r="Y1346" s="3"/>
      <c r="Z1346" s="3"/>
      <c r="AA1346" s="3"/>
      <c r="AB1346" s="3"/>
    </row>
    <row r="1347" spans="1:28" x14ac:dyDescent="0.3">
      <c r="A1347" s="2"/>
      <c r="F1347" s="3"/>
      <c r="G1347" s="3"/>
      <c r="N1347" s="3"/>
      <c r="Q1347" s="3"/>
      <c r="R1347" s="3"/>
      <c r="S1347" s="3"/>
      <c r="V1347" s="3"/>
      <c r="W1347" s="3"/>
      <c r="X1347" s="3"/>
      <c r="Y1347" s="3"/>
      <c r="Z1347" s="3"/>
      <c r="AA1347" s="3"/>
      <c r="AB1347" s="3"/>
    </row>
    <row r="1348" spans="1:28" x14ac:dyDescent="0.3">
      <c r="A1348" s="2"/>
      <c r="F1348" s="3"/>
      <c r="G1348" s="3"/>
      <c r="N1348" s="3"/>
      <c r="Q1348" s="3"/>
      <c r="R1348" s="3"/>
      <c r="S1348" s="3"/>
      <c r="V1348" s="3"/>
      <c r="W1348" s="3"/>
      <c r="X1348" s="3"/>
      <c r="Y1348" s="3"/>
      <c r="Z1348" s="3"/>
      <c r="AA1348" s="3"/>
      <c r="AB1348" s="3"/>
    </row>
    <row r="1349" spans="1:28" x14ac:dyDescent="0.3">
      <c r="A1349" s="2"/>
      <c r="F1349" s="3"/>
      <c r="G1349" s="3"/>
      <c r="N1349" s="3"/>
      <c r="Q1349" s="3"/>
      <c r="R1349" s="3"/>
      <c r="S1349" s="3"/>
      <c r="V1349" s="3"/>
      <c r="W1349" s="3"/>
      <c r="X1349" s="3"/>
      <c r="Y1349" s="3"/>
      <c r="Z1349" s="3"/>
      <c r="AA1349" s="3"/>
      <c r="AB1349" s="3"/>
    </row>
    <row r="1350" spans="1:28" x14ac:dyDescent="0.3">
      <c r="A1350" s="2"/>
      <c r="F1350" s="3"/>
      <c r="G1350" s="3"/>
      <c r="N1350" s="3"/>
      <c r="Q1350" s="3"/>
      <c r="R1350" s="3"/>
      <c r="S1350" s="3"/>
      <c r="V1350" s="3"/>
      <c r="W1350" s="3"/>
      <c r="X1350" s="3"/>
      <c r="Y1350" s="3"/>
      <c r="Z1350" s="3"/>
      <c r="AA1350" s="3"/>
      <c r="AB1350" s="3"/>
    </row>
    <row r="1351" spans="1:28" x14ac:dyDescent="0.3">
      <c r="A1351" s="2"/>
      <c r="F1351" s="3"/>
      <c r="G1351" s="3"/>
      <c r="N1351" s="3"/>
      <c r="Q1351" s="3"/>
      <c r="R1351" s="3"/>
      <c r="S1351" s="3"/>
      <c r="V1351" s="3"/>
      <c r="W1351" s="3"/>
      <c r="X1351" s="3"/>
      <c r="Y1351" s="3"/>
      <c r="Z1351" s="3"/>
      <c r="AA1351" s="3"/>
      <c r="AB1351" s="3"/>
    </row>
    <row r="1352" spans="1:28" x14ac:dyDescent="0.3">
      <c r="A1352" s="2"/>
      <c r="F1352" s="3"/>
      <c r="G1352" s="3"/>
      <c r="N1352" s="3"/>
      <c r="Q1352" s="3"/>
      <c r="R1352" s="3"/>
      <c r="S1352" s="3"/>
      <c r="V1352" s="3"/>
      <c r="W1352" s="3"/>
      <c r="X1352" s="3"/>
      <c r="Y1352" s="3"/>
      <c r="Z1352" s="3"/>
      <c r="AA1352" s="3"/>
      <c r="AB1352" s="3"/>
    </row>
    <row r="1353" spans="1:28" x14ac:dyDescent="0.3">
      <c r="A1353" s="2"/>
      <c r="F1353" s="3"/>
      <c r="G1353" s="3"/>
      <c r="N1353" s="3"/>
      <c r="Q1353" s="3"/>
      <c r="R1353" s="3"/>
      <c r="S1353" s="3"/>
      <c r="V1353" s="3"/>
      <c r="W1353" s="3"/>
      <c r="X1353" s="3"/>
      <c r="Y1353" s="3"/>
      <c r="Z1353" s="3"/>
      <c r="AA1353" s="3"/>
      <c r="AB1353" s="3"/>
    </row>
    <row r="1354" spans="1:28" x14ac:dyDescent="0.3">
      <c r="A1354" s="2"/>
      <c r="F1354" s="3"/>
      <c r="G1354" s="3"/>
      <c r="N1354" s="3"/>
      <c r="Q1354" s="3"/>
      <c r="R1354" s="3"/>
      <c r="S1354" s="3"/>
      <c r="V1354" s="3"/>
      <c r="W1354" s="3"/>
      <c r="X1354" s="3"/>
      <c r="Y1354" s="3"/>
      <c r="Z1354" s="3"/>
      <c r="AA1354" s="3"/>
      <c r="AB1354" s="3"/>
    </row>
    <row r="1355" spans="1:28" x14ac:dyDescent="0.3">
      <c r="A1355" s="2"/>
      <c r="F1355" s="3"/>
      <c r="G1355" s="3"/>
      <c r="N1355" s="3"/>
      <c r="Q1355" s="3"/>
      <c r="R1355" s="3"/>
      <c r="S1355" s="3"/>
      <c r="V1355" s="3"/>
      <c r="W1355" s="3"/>
      <c r="X1355" s="3"/>
      <c r="Y1355" s="3"/>
      <c r="Z1355" s="3"/>
      <c r="AA1355" s="3"/>
      <c r="AB1355" s="3"/>
    </row>
    <row r="1356" spans="1:28" x14ac:dyDescent="0.3">
      <c r="A1356" s="2"/>
      <c r="F1356" s="3"/>
      <c r="G1356" s="3"/>
      <c r="N1356" s="3"/>
      <c r="Q1356" s="3"/>
      <c r="R1356" s="3"/>
      <c r="S1356" s="3"/>
      <c r="V1356" s="3"/>
      <c r="W1356" s="3"/>
      <c r="X1356" s="3"/>
      <c r="Y1356" s="3"/>
      <c r="Z1356" s="3"/>
      <c r="AA1356" s="3"/>
      <c r="AB1356" s="3"/>
    </row>
    <row r="1357" spans="1:28" x14ac:dyDescent="0.3">
      <c r="A1357" s="2"/>
      <c r="F1357" s="3"/>
      <c r="G1357" s="3"/>
      <c r="N1357" s="3"/>
      <c r="Q1357" s="3"/>
      <c r="R1357" s="3"/>
      <c r="S1357" s="3"/>
      <c r="V1357" s="3"/>
      <c r="W1357" s="3"/>
      <c r="X1357" s="3"/>
      <c r="Y1357" s="3"/>
      <c r="Z1357" s="3"/>
      <c r="AA1357" s="3"/>
      <c r="AB1357" s="3"/>
    </row>
    <row r="1358" spans="1:28" x14ac:dyDescent="0.3">
      <c r="A1358" s="2"/>
      <c r="F1358" s="3"/>
      <c r="G1358" s="3"/>
      <c r="N1358" s="3"/>
      <c r="Q1358" s="3"/>
      <c r="R1358" s="3"/>
      <c r="S1358" s="3"/>
      <c r="V1358" s="3"/>
      <c r="W1358" s="3"/>
      <c r="X1358" s="3"/>
      <c r="Y1358" s="3"/>
      <c r="Z1358" s="3"/>
      <c r="AA1358" s="3"/>
      <c r="AB1358" s="3"/>
    </row>
    <row r="1359" spans="1:28" x14ac:dyDescent="0.3">
      <c r="A1359" s="2"/>
      <c r="F1359" s="3"/>
      <c r="G1359" s="3"/>
      <c r="N1359" s="3"/>
      <c r="Q1359" s="3"/>
      <c r="R1359" s="3"/>
      <c r="S1359" s="3"/>
      <c r="V1359" s="3"/>
      <c r="W1359" s="3"/>
      <c r="X1359" s="3"/>
      <c r="Y1359" s="3"/>
      <c r="Z1359" s="3"/>
      <c r="AA1359" s="3"/>
      <c r="AB1359" s="3"/>
    </row>
    <row r="1360" spans="1:28" x14ac:dyDescent="0.3">
      <c r="A1360" s="2"/>
      <c r="F1360" s="3"/>
      <c r="G1360" s="3"/>
      <c r="N1360" s="3"/>
      <c r="Q1360" s="3"/>
      <c r="R1360" s="3"/>
      <c r="S1360" s="3"/>
      <c r="V1360" s="3"/>
      <c r="W1360" s="3"/>
      <c r="X1360" s="3"/>
      <c r="Y1360" s="3"/>
      <c r="Z1360" s="3"/>
      <c r="AA1360" s="3"/>
      <c r="AB1360" s="3"/>
    </row>
    <row r="1361" spans="1:28" x14ac:dyDescent="0.3">
      <c r="A1361" s="2"/>
      <c r="F1361" s="3"/>
      <c r="G1361" s="3"/>
      <c r="N1361" s="3"/>
      <c r="Q1361" s="3"/>
      <c r="R1361" s="3"/>
      <c r="S1361" s="3"/>
      <c r="V1361" s="3"/>
      <c r="W1361" s="3"/>
      <c r="X1361" s="3"/>
      <c r="Y1361" s="3"/>
      <c r="Z1361" s="3"/>
      <c r="AA1361" s="3"/>
      <c r="AB1361" s="3"/>
    </row>
    <row r="1362" spans="1:28" x14ac:dyDescent="0.3">
      <c r="A1362" s="2"/>
      <c r="F1362" s="3"/>
      <c r="G1362" s="3"/>
      <c r="N1362" s="3"/>
      <c r="Q1362" s="3"/>
      <c r="R1362" s="3"/>
      <c r="S1362" s="3"/>
      <c r="V1362" s="3"/>
      <c r="W1362" s="3"/>
      <c r="X1362" s="3"/>
      <c r="Y1362" s="3"/>
      <c r="Z1362" s="3"/>
      <c r="AA1362" s="3"/>
      <c r="AB1362" s="3"/>
    </row>
    <row r="1363" spans="1:28" x14ac:dyDescent="0.3">
      <c r="A1363" s="2"/>
      <c r="F1363" s="3"/>
      <c r="G1363" s="3"/>
      <c r="N1363" s="3"/>
      <c r="Q1363" s="3"/>
      <c r="R1363" s="3"/>
      <c r="S1363" s="3"/>
      <c r="V1363" s="3"/>
      <c r="W1363" s="3"/>
      <c r="X1363" s="3"/>
      <c r="Y1363" s="3"/>
      <c r="Z1363" s="3"/>
      <c r="AA1363" s="3"/>
      <c r="AB1363" s="3"/>
    </row>
    <row r="1364" spans="1:28" x14ac:dyDescent="0.3">
      <c r="A1364" s="2"/>
      <c r="F1364" s="3"/>
      <c r="G1364" s="3"/>
      <c r="N1364" s="3"/>
      <c r="Q1364" s="3"/>
      <c r="R1364" s="3"/>
      <c r="S1364" s="3"/>
      <c r="V1364" s="3"/>
      <c r="W1364" s="3"/>
      <c r="X1364" s="3"/>
      <c r="Y1364" s="3"/>
      <c r="Z1364" s="3"/>
      <c r="AA1364" s="3"/>
      <c r="AB1364" s="3"/>
    </row>
    <row r="1365" spans="1:28" x14ac:dyDescent="0.3">
      <c r="A1365" s="2"/>
      <c r="F1365" s="3"/>
      <c r="G1365" s="3"/>
      <c r="N1365" s="3"/>
      <c r="Q1365" s="3"/>
      <c r="R1365" s="3"/>
      <c r="S1365" s="3"/>
      <c r="V1365" s="3"/>
      <c r="W1365" s="3"/>
      <c r="X1365" s="3"/>
      <c r="Y1365" s="3"/>
      <c r="Z1365" s="3"/>
      <c r="AA1365" s="3"/>
      <c r="AB1365" s="3"/>
    </row>
    <row r="1366" spans="1:28" x14ac:dyDescent="0.3">
      <c r="A1366" s="2"/>
      <c r="F1366" s="3"/>
      <c r="G1366" s="3"/>
      <c r="N1366" s="3"/>
      <c r="Q1366" s="3"/>
      <c r="R1366" s="3"/>
      <c r="S1366" s="3"/>
      <c r="V1366" s="3"/>
      <c r="W1366" s="3"/>
      <c r="X1366" s="3"/>
      <c r="Y1366" s="3"/>
      <c r="Z1366" s="3"/>
      <c r="AA1366" s="3"/>
      <c r="AB1366" s="3"/>
    </row>
    <row r="1367" spans="1:28" x14ac:dyDescent="0.3">
      <c r="A1367" s="2"/>
      <c r="F1367" s="3"/>
      <c r="G1367" s="3"/>
      <c r="N1367" s="3"/>
      <c r="Q1367" s="3"/>
      <c r="R1367" s="3"/>
      <c r="S1367" s="3"/>
      <c r="V1367" s="3"/>
      <c r="W1367" s="3"/>
      <c r="X1367" s="3"/>
      <c r="Y1367" s="3"/>
      <c r="Z1367" s="3"/>
      <c r="AA1367" s="3"/>
      <c r="AB1367" s="3"/>
    </row>
    <row r="1368" spans="1:28" x14ac:dyDescent="0.3">
      <c r="A1368" s="2"/>
      <c r="F1368" s="3"/>
      <c r="G1368" s="3"/>
      <c r="N1368" s="3"/>
      <c r="Q1368" s="3"/>
      <c r="R1368" s="3"/>
      <c r="S1368" s="3"/>
      <c r="V1368" s="3"/>
      <c r="W1368" s="3"/>
      <c r="X1368" s="3"/>
      <c r="Y1368" s="3"/>
      <c r="Z1368" s="3"/>
      <c r="AA1368" s="3"/>
      <c r="AB1368" s="3"/>
    </row>
    <row r="1369" spans="1:28" x14ac:dyDescent="0.3">
      <c r="A1369" s="2"/>
      <c r="F1369" s="3"/>
      <c r="G1369" s="3"/>
      <c r="N1369" s="3"/>
      <c r="Q1369" s="3"/>
      <c r="R1369" s="3"/>
      <c r="S1369" s="3"/>
      <c r="V1369" s="3"/>
      <c r="W1369" s="3"/>
      <c r="X1369" s="3"/>
      <c r="Y1369" s="3"/>
      <c r="Z1369" s="3"/>
      <c r="AA1369" s="3"/>
      <c r="AB1369" s="3"/>
    </row>
    <row r="1370" spans="1:28" x14ac:dyDescent="0.3">
      <c r="A1370" s="2"/>
      <c r="F1370" s="3"/>
      <c r="G1370" s="3"/>
      <c r="N1370" s="3"/>
      <c r="Q1370" s="3"/>
      <c r="R1370" s="3"/>
      <c r="S1370" s="3"/>
      <c r="V1370" s="3"/>
      <c r="W1370" s="3"/>
      <c r="X1370" s="3"/>
      <c r="Y1370" s="3"/>
      <c r="Z1370" s="3"/>
      <c r="AA1370" s="3"/>
      <c r="AB1370" s="3"/>
    </row>
    <row r="1371" spans="1:28" x14ac:dyDescent="0.3">
      <c r="A1371" s="2"/>
      <c r="F1371" s="3"/>
      <c r="G1371" s="3"/>
      <c r="N1371" s="3"/>
      <c r="Q1371" s="3"/>
      <c r="R1371" s="3"/>
      <c r="S1371" s="3"/>
      <c r="V1371" s="3"/>
      <c r="W1371" s="3"/>
      <c r="X1371" s="3"/>
      <c r="Y1371" s="3"/>
      <c r="Z1371" s="3"/>
      <c r="AA1371" s="3"/>
      <c r="AB1371" s="3"/>
    </row>
    <row r="1372" spans="1:28" x14ac:dyDescent="0.3">
      <c r="A1372" s="2"/>
      <c r="F1372" s="3"/>
      <c r="G1372" s="3"/>
      <c r="N1372" s="3"/>
      <c r="Q1372" s="3"/>
      <c r="R1372" s="3"/>
      <c r="S1372" s="3"/>
      <c r="V1372" s="3"/>
      <c r="W1372" s="3"/>
      <c r="X1372" s="3"/>
      <c r="Y1372" s="3"/>
      <c r="Z1372" s="3"/>
      <c r="AA1372" s="3"/>
      <c r="AB1372" s="3"/>
    </row>
    <row r="1373" spans="1:28" x14ac:dyDescent="0.3">
      <c r="A1373" s="2"/>
      <c r="F1373" s="3"/>
      <c r="G1373" s="3"/>
      <c r="N1373" s="3"/>
      <c r="Q1373" s="3"/>
      <c r="R1373" s="3"/>
      <c r="S1373" s="3"/>
      <c r="V1373" s="3"/>
      <c r="W1373" s="3"/>
      <c r="X1373" s="3"/>
      <c r="Y1373" s="3"/>
      <c r="Z1373" s="3"/>
      <c r="AA1373" s="3"/>
      <c r="AB1373" s="3"/>
    </row>
    <row r="1374" spans="1:28" x14ac:dyDescent="0.3">
      <c r="A1374" s="2"/>
      <c r="F1374" s="3"/>
      <c r="G1374" s="3"/>
      <c r="N1374" s="3"/>
      <c r="Q1374" s="3"/>
      <c r="R1374" s="3"/>
      <c r="S1374" s="3"/>
      <c r="V1374" s="3"/>
      <c r="W1374" s="3"/>
      <c r="X1374" s="3"/>
      <c r="Y1374" s="3"/>
      <c r="Z1374" s="3"/>
      <c r="AA1374" s="3"/>
      <c r="AB1374" s="3"/>
    </row>
    <row r="1375" spans="1:28" x14ac:dyDescent="0.3">
      <c r="A1375" s="2"/>
      <c r="F1375" s="3"/>
      <c r="G1375" s="3"/>
      <c r="N1375" s="3"/>
      <c r="Q1375" s="3"/>
      <c r="R1375" s="3"/>
      <c r="S1375" s="3"/>
      <c r="V1375" s="3"/>
      <c r="W1375" s="3"/>
      <c r="X1375" s="3"/>
      <c r="Y1375" s="3"/>
      <c r="Z1375" s="3"/>
      <c r="AA1375" s="3"/>
      <c r="AB1375" s="3"/>
    </row>
    <row r="1376" spans="1:28" x14ac:dyDescent="0.3">
      <c r="A1376" s="2"/>
      <c r="F1376" s="3"/>
      <c r="G1376" s="3"/>
      <c r="N1376" s="3"/>
      <c r="Q1376" s="3"/>
      <c r="R1376" s="3"/>
      <c r="S1376" s="3"/>
      <c r="V1376" s="3"/>
      <c r="W1376" s="3"/>
      <c r="X1376" s="3"/>
      <c r="Y1376" s="3"/>
      <c r="Z1376" s="3"/>
      <c r="AA1376" s="3"/>
      <c r="AB1376" s="3"/>
    </row>
    <row r="1377" spans="1:28" x14ac:dyDescent="0.3">
      <c r="A1377" s="2"/>
      <c r="F1377" s="3"/>
      <c r="G1377" s="3"/>
      <c r="N1377" s="3"/>
      <c r="Q1377" s="3"/>
      <c r="R1377" s="3"/>
      <c r="S1377" s="3"/>
      <c r="V1377" s="3"/>
      <c r="W1377" s="3"/>
      <c r="X1377" s="3"/>
      <c r="Y1377" s="3"/>
      <c r="Z1377" s="3"/>
      <c r="AA1377" s="3"/>
      <c r="AB1377" s="3"/>
    </row>
    <row r="1378" spans="1:28" x14ac:dyDescent="0.3">
      <c r="A1378" s="2"/>
      <c r="F1378" s="3"/>
      <c r="G1378" s="3"/>
      <c r="N1378" s="3"/>
      <c r="Q1378" s="3"/>
      <c r="R1378" s="3"/>
      <c r="S1378" s="3"/>
      <c r="V1378" s="3"/>
      <c r="W1378" s="3"/>
      <c r="X1378" s="3"/>
      <c r="Y1378" s="3"/>
      <c r="Z1378" s="3"/>
      <c r="AA1378" s="3"/>
      <c r="AB1378" s="3"/>
    </row>
    <row r="1379" spans="1:28" x14ac:dyDescent="0.3">
      <c r="A1379" s="2"/>
      <c r="F1379" s="3"/>
      <c r="G1379" s="3"/>
      <c r="N1379" s="3"/>
      <c r="Q1379" s="3"/>
      <c r="R1379" s="3"/>
      <c r="S1379" s="3"/>
      <c r="V1379" s="3"/>
      <c r="W1379" s="3"/>
      <c r="X1379" s="3"/>
      <c r="Y1379" s="3"/>
      <c r="Z1379" s="3"/>
      <c r="AA1379" s="3"/>
      <c r="AB1379" s="3"/>
    </row>
    <row r="1380" spans="1:28" x14ac:dyDescent="0.3">
      <c r="A1380" s="2"/>
      <c r="F1380" s="3"/>
      <c r="G1380" s="3"/>
      <c r="N1380" s="3"/>
      <c r="Q1380" s="3"/>
      <c r="R1380" s="3"/>
      <c r="S1380" s="3"/>
      <c r="V1380" s="3"/>
      <c r="W1380" s="3"/>
      <c r="X1380" s="3"/>
      <c r="Y1380" s="3"/>
      <c r="Z1380" s="3"/>
      <c r="AA1380" s="3"/>
      <c r="AB1380" s="3"/>
    </row>
    <row r="1381" spans="1:28" x14ac:dyDescent="0.3">
      <c r="A1381" s="2"/>
      <c r="F1381" s="3"/>
      <c r="G1381" s="3"/>
      <c r="N1381" s="3"/>
      <c r="Q1381" s="3"/>
      <c r="R1381" s="3"/>
      <c r="S1381" s="3"/>
      <c r="V1381" s="3"/>
      <c r="W1381" s="3"/>
      <c r="X1381" s="3"/>
      <c r="Y1381" s="3"/>
      <c r="Z1381" s="3"/>
      <c r="AA1381" s="3"/>
      <c r="AB1381" s="3"/>
    </row>
    <row r="1382" spans="1:28" x14ac:dyDescent="0.3">
      <c r="A1382" s="2"/>
      <c r="F1382" s="3"/>
      <c r="G1382" s="3"/>
      <c r="N1382" s="3"/>
      <c r="Q1382" s="3"/>
      <c r="R1382" s="3"/>
      <c r="S1382" s="3"/>
      <c r="V1382" s="3"/>
      <c r="W1382" s="3"/>
      <c r="X1382" s="3"/>
      <c r="Y1382" s="3"/>
      <c r="Z1382" s="3"/>
      <c r="AA1382" s="3"/>
      <c r="AB1382" s="3"/>
    </row>
    <row r="1383" spans="1:28" x14ac:dyDescent="0.3">
      <c r="A1383" s="2"/>
      <c r="F1383" s="3"/>
      <c r="G1383" s="3"/>
      <c r="N1383" s="3"/>
      <c r="Q1383" s="3"/>
      <c r="R1383" s="3"/>
      <c r="S1383" s="3"/>
      <c r="V1383" s="3"/>
      <c r="W1383" s="3"/>
      <c r="X1383" s="3"/>
      <c r="Y1383" s="3"/>
      <c r="Z1383" s="3"/>
      <c r="AA1383" s="3"/>
      <c r="AB1383" s="3"/>
    </row>
    <row r="1384" spans="1:28" x14ac:dyDescent="0.3">
      <c r="A1384" s="2"/>
      <c r="F1384" s="3"/>
      <c r="G1384" s="3"/>
      <c r="N1384" s="3"/>
      <c r="Q1384" s="3"/>
      <c r="R1384" s="3"/>
      <c r="S1384" s="3"/>
      <c r="V1384" s="3"/>
      <c r="W1384" s="3"/>
      <c r="X1384" s="3"/>
      <c r="Y1384" s="3"/>
      <c r="Z1384" s="3"/>
      <c r="AA1384" s="3"/>
      <c r="AB1384" s="3"/>
    </row>
    <row r="1385" spans="1:28" x14ac:dyDescent="0.3">
      <c r="A1385" s="2"/>
      <c r="F1385" s="3"/>
      <c r="G1385" s="3"/>
      <c r="N1385" s="3"/>
      <c r="Q1385" s="3"/>
      <c r="R1385" s="3"/>
      <c r="S1385" s="3"/>
      <c r="V1385" s="3"/>
      <c r="W1385" s="3"/>
      <c r="X1385" s="3"/>
      <c r="Y1385" s="3"/>
      <c r="Z1385" s="3"/>
      <c r="AA1385" s="3"/>
      <c r="AB1385" s="3"/>
    </row>
    <row r="1386" spans="1:28" x14ac:dyDescent="0.3">
      <c r="A1386" s="2"/>
      <c r="F1386" s="3"/>
      <c r="G1386" s="3"/>
      <c r="N1386" s="3"/>
      <c r="Q1386" s="3"/>
      <c r="R1386" s="3"/>
      <c r="S1386" s="3"/>
      <c r="V1386" s="3"/>
      <c r="W1386" s="3"/>
      <c r="X1386" s="3"/>
      <c r="Y1386" s="3"/>
      <c r="Z1386" s="3"/>
      <c r="AA1386" s="3"/>
      <c r="AB1386" s="3"/>
    </row>
    <row r="1387" spans="1:28" x14ac:dyDescent="0.3">
      <c r="A1387" s="2"/>
      <c r="F1387" s="3"/>
      <c r="G1387" s="3"/>
      <c r="N1387" s="3"/>
      <c r="Q1387" s="3"/>
      <c r="R1387" s="3"/>
      <c r="S1387" s="3"/>
      <c r="V1387" s="3"/>
      <c r="W1387" s="3"/>
      <c r="X1387" s="3"/>
      <c r="Y1387" s="3"/>
      <c r="Z1387" s="3"/>
      <c r="AA1387" s="3"/>
      <c r="AB1387" s="3"/>
    </row>
    <row r="1388" spans="1:28" x14ac:dyDescent="0.3">
      <c r="A1388" s="2"/>
      <c r="F1388" s="3"/>
      <c r="G1388" s="3"/>
      <c r="N1388" s="3"/>
      <c r="Q1388" s="3"/>
      <c r="R1388" s="3"/>
      <c r="S1388" s="3"/>
      <c r="V1388" s="3"/>
      <c r="W1388" s="3"/>
      <c r="X1388" s="3"/>
      <c r="Y1388" s="3"/>
      <c r="Z1388" s="3"/>
      <c r="AA1388" s="3"/>
      <c r="AB1388" s="3"/>
    </row>
    <row r="1389" spans="1:28" x14ac:dyDescent="0.3">
      <c r="A1389" s="2"/>
      <c r="F1389" s="3"/>
      <c r="G1389" s="3"/>
      <c r="N1389" s="3"/>
      <c r="Q1389" s="3"/>
      <c r="R1389" s="3"/>
      <c r="S1389" s="3"/>
      <c r="V1389" s="3"/>
      <c r="W1389" s="3"/>
      <c r="X1389" s="3"/>
      <c r="Y1389" s="3"/>
      <c r="Z1389" s="3"/>
      <c r="AA1389" s="3"/>
      <c r="AB1389" s="3"/>
    </row>
    <row r="1390" spans="1:28" x14ac:dyDescent="0.3">
      <c r="A1390" s="2"/>
      <c r="F1390" s="3"/>
      <c r="G1390" s="3"/>
      <c r="N1390" s="3"/>
      <c r="Q1390" s="3"/>
      <c r="R1390" s="3"/>
      <c r="S1390" s="3"/>
      <c r="V1390" s="3"/>
      <c r="W1390" s="3"/>
      <c r="X1390" s="3"/>
      <c r="Y1390" s="3"/>
      <c r="Z1390" s="3"/>
      <c r="AA1390" s="3"/>
      <c r="AB1390" s="3"/>
    </row>
    <row r="1391" spans="1:28" x14ac:dyDescent="0.3">
      <c r="A1391" s="2"/>
      <c r="F1391" s="3"/>
      <c r="G1391" s="3"/>
      <c r="N1391" s="3"/>
      <c r="Q1391" s="3"/>
      <c r="R1391" s="3"/>
      <c r="S1391" s="3"/>
      <c r="V1391" s="3"/>
      <c r="W1391" s="3"/>
      <c r="X1391" s="3"/>
      <c r="Y1391" s="3"/>
      <c r="Z1391" s="3"/>
      <c r="AA1391" s="3"/>
      <c r="AB1391" s="3"/>
    </row>
    <row r="1392" spans="1:28" x14ac:dyDescent="0.3">
      <c r="A1392" s="2"/>
      <c r="F1392" s="3"/>
      <c r="G1392" s="3"/>
      <c r="N1392" s="3"/>
      <c r="Q1392" s="3"/>
      <c r="R1392" s="3"/>
      <c r="S1392" s="3"/>
      <c r="V1392" s="3"/>
      <c r="W1392" s="3"/>
      <c r="X1392" s="3"/>
      <c r="Y1392" s="3"/>
      <c r="Z1392" s="3"/>
      <c r="AA1392" s="3"/>
      <c r="AB1392" s="3"/>
    </row>
    <row r="1393" spans="1:28" x14ac:dyDescent="0.3">
      <c r="A1393" s="2"/>
      <c r="F1393" s="3"/>
      <c r="G1393" s="3"/>
      <c r="N1393" s="3"/>
      <c r="Q1393" s="3"/>
      <c r="R1393" s="3"/>
      <c r="S1393" s="3"/>
      <c r="V1393" s="3"/>
      <c r="W1393" s="3"/>
      <c r="X1393" s="3"/>
      <c r="Y1393" s="3"/>
      <c r="Z1393" s="3"/>
      <c r="AA1393" s="3"/>
      <c r="AB1393" s="3"/>
    </row>
    <row r="1394" spans="1:28" x14ac:dyDescent="0.3">
      <c r="A1394" s="2"/>
      <c r="F1394" s="3"/>
      <c r="G1394" s="3"/>
      <c r="N1394" s="3"/>
      <c r="Q1394" s="3"/>
      <c r="R1394" s="3"/>
      <c r="S1394" s="3"/>
      <c r="V1394" s="3"/>
      <c r="W1394" s="3"/>
      <c r="X1394" s="3"/>
      <c r="Y1394" s="3"/>
      <c r="Z1394" s="3"/>
      <c r="AA1394" s="3"/>
      <c r="AB1394" s="3"/>
    </row>
    <row r="1395" spans="1:28" x14ac:dyDescent="0.3">
      <c r="A1395" s="2"/>
      <c r="F1395" s="3"/>
      <c r="G1395" s="3"/>
      <c r="N1395" s="3"/>
      <c r="Q1395" s="3"/>
      <c r="R1395" s="3"/>
      <c r="S1395" s="3"/>
      <c r="V1395" s="3"/>
      <c r="W1395" s="3"/>
      <c r="X1395" s="3"/>
      <c r="Y1395" s="3"/>
      <c r="Z1395" s="3"/>
      <c r="AA1395" s="3"/>
      <c r="AB1395" s="3"/>
    </row>
    <row r="1396" spans="1:28" x14ac:dyDescent="0.3">
      <c r="A1396" s="2"/>
      <c r="F1396" s="3"/>
      <c r="G1396" s="3"/>
      <c r="N1396" s="3"/>
      <c r="Q1396" s="3"/>
      <c r="R1396" s="3"/>
      <c r="S1396" s="3"/>
      <c r="V1396" s="3"/>
      <c r="W1396" s="3"/>
      <c r="X1396" s="3"/>
      <c r="Y1396" s="3"/>
      <c r="Z1396" s="3"/>
      <c r="AA1396" s="3"/>
      <c r="AB1396" s="3"/>
    </row>
    <row r="1397" spans="1:28" x14ac:dyDescent="0.3">
      <c r="A1397" s="2"/>
      <c r="F1397" s="3"/>
      <c r="G1397" s="3"/>
      <c r="N1397" s="3"/>
      <c r="Q1397" s="3"/>
      <c r="R1397" s="3"/>
      <c r="S1397" s="3"/>
      <c r="V1397" s="3"/>
      <c r="W1397" s="3"/>
      <c r="X1397" s="3"/>
      <c r="Y1397" s="3"/>
      <c r="Z1397" s="3"/>
      <c r="AA1397" s="3"/>
      <c r="AB1397" s="3"/>
    </row>
    <row r="1398" spans="1:28" x14ac:dyDescent="0.3">
      <c r="A1398" s="2"/>
      <c r="F1398" s="3"/>
      <c r="G1398" s="3"/>
      <c r="N1398" s="3"/>
      <c r="Q1398" s="3"/>
      <c r="R1398" s="3"/>
      <c r="S1398" s="3"/>
      <c r="V1398" s="3"/>
      <c r="W1398" s="3"/>
      <c r="X1398" s="3"/>
      <c r="Y1398" s="3"/>
      <c r="Z1398" s="3"/>
      <c r="AA1398" s="3"/>
      <c r="AB1398" s="3"/>
    </row>
    <row r="1399" spans="1:28" x14ac:dyDescent="0.3">
      <c r="A1399" s="2"/>
      <c r="F1399" s="3"/>
      <c r="G1399" s="3"/>
      <c r="N1399" s="3"/>
      <c r="Q1399" s="3"/>
      <c r="R1399" s="3"/>
      <c r="S1399" s="3"/>
      <c r="V1399" s="3"/>
      <c r="W1399" s="3"/>
      <c r="X1399" s="3"/>
      <c r="Y1399" s="3"/>
      <c r="Z1399" s="3"/>
      <c r="AA1399" s="3"/>
      <c r="AB1399" s="3"/>
    </row>
    <row r="1400" spans="1:28" x14ac:dyDescent="0.3">
      <c r="A1400" s="2"/>
      <c r="F1400" s="3"/>
      <c r="G1400" s="3"/>
      <c r="N1400" s="3"/>
      <c r="Q1400" s="3"/>
      <c r="R1400" s="3"/>
      <c r="S1400" s="3"/>
      <c r="V1400" s="3"/>
      <c r="W1400" s="3"/>
      <c r="X1400" s="3"/>
      <c r="Y1400" s="3"/>
      <c r="Z1400" s="3"/>
      <c r="AA1400" s="3"/>
      <c r="AB1400" s="3"/>
    </row>
    <row r="1401" spans="1:28" x14ac:dyDescent="0.3">
      <c r="A1401" s="2"/>
      <c r="F1401" s="3"/>
      <c r="G1401" s="3"/>
      <c r="N1401" s="3"/>
      <c r="Q1401" s="3"/>
      <c r="R1401" s="3"/>
      <c r="S1401" s="3"/>
      <c r="V1401" s="3"/>
      <c r="W1401" s="3"/>
      <c r="X1401" s="3"/>
      <c r="Y1401" s="3"/>
      <c r="Z1401" s="3"/>
      <c r="AA1401" s="3"/>
      <c r="AB1401" s="3"/>
    </row>
    <row r="1402" spans="1:28" x14ac:dyDescent="0.3">
      <c r="A1402" s="2"/>
      <c r="F1402" s="3"/>
      <c r="G1402" s="3"/>
      <c r="N1402" s="3"/>
      <c r="Q1402" s="3"/>
      <c r="R1402" s="3"/>
      <c r="S1402" s="3"/>
      <c r="V1402" s="3"/>
      <c r="W1402" s="3"/>
      <c r="X1402" s="3"/>
      <c r="Y1402" s="3"/>
      <c r="Z1402" s="3"/>
      <c r="AA1402" s="3"/>
      <c r="AB1402" s="3"/>
    </row>
    <row r="1403" spans="1:28" x14ac:dyDescent="0.3">
      <c r="A1403" s="2"/>
      <c r="F1403" s="3"/>
      <c r="G1403" s="3"/>
      <c r="N1403" s="3"/>
      <c r="Q1403" s="3"/>
      <c r="R1403" s="3"/>
      <c r="S1403" s="3"/>
      <c r="V1403" s="3"/>
      <c r="W1403" s="3"/>
      <c r="X1403" s="3"/>
      <c r="Y1403" s="3"/>
      <c r="Z1403" s="3"/>
      <c r="AA1403" s="3"/>
      <c r="AB1403" s="3"/>
    </row>
    <row r="1404" spans="1:28" x14ac:dyDescent="0.3">
      <c r="A1404" s="2"/>
      <c r="F1404" s="3"/>
      <c r="G1404" s="3"/>
      <c r="N1404" s="3"/>
      <c r="Q1404" s="3"/>
      <c r="R1404" s="3"/>
      <c r="S1404" s="3"/>
      <c r="V1404" s="3"/>
      <c r="W1404" s="3"/>
      <c r="X1404" s="3"/>
      <c r="Y1404" s="3"/>
      <c r="Z1404" s="3"/>
      <c r="AA1404" s="3"/>
      <c r="AB1404" s="3"/>
    </row>
    <row r="1405" spans="1:28" x14ac:dyDescent="0.3">
      <c r="A1405" s="2"/>
      <c r="F1405" s="3"/>
      <c r="G1405" s="3"/>
      <c r="N1405" s="3"/>
      <c r="Q1405" s="3"/>
      <c r="R1405" s="3"/>
      <c r="S1405" s="3"/>
      <c r="V1405" s="3"/>
      <c r="W1405" s="3"/>
      <c r="X1405" s="3"/>
      <c r="Y1405" s="3"/>
      <c r="Z1405" s="3"/>
      <c r="AA1405" s="3"/>
      <c r="AB1405" s="3"/>
    </row>
    <row r="1406" spans="1:28" x14ac:dyDescent="0.3">
      <c r="A1406" s="2"/>
      <c r="F1406" s="3"/>
      <c r="G1406" s="3"/>
      <c r="N1406" s="3"/>
      <c r="Q1406" s="3"/>
      <c r="R1406" s="3"/>
      <c r="S1406" s="3"/>
      <c r="V1406" s="3"/>
      <c r="W1406" s="3"/>
      <c r="X1406" s="3"/>
      <c r="Y1406" s="3"/>
      <c r="Z1406" s="3"/>
      <c r="AA1406" s="3"/>
      <c r="AB1406" s="3"/>
    </row>
    <row r="1407" spans="1:28" x14ac:dyDescent="0.3">
      <c r="A1407" s="2"/>
      <c r="F1407" s="3"/>
      <c r="G1407" s="3"/>
      <c r="N1407" s="3"/>
      <c r="Q1407" s="3"/>
      <c r="R1407" s="3"/>
      <c r="S1407" s="3"/>
      <c r="V1407" s="3"/>
      <c r="W1407" s="3"/>
      <c r="X1407" s="3"/>
      <c r="Y1407" s="3"/>
      <c r="Z1407" s="3"/>
      <c r="AA1407" s="3"/>
      <c r="AB1407" s="3"/>
    </row>
    <row r="1408" spans="1:28" x14ac:dyDescent="0.3">
      <c r="A1408" s="2"/>
      <c r="F1408" s="3"/>
      <c r="G1408" s="3"/>
      <c r="N1408" s="3"/>
      <c r="Q1408" s="3"/>
      <c r="R1408" s="3"/>
      <c r="S1408" s="3"/>
      <c r="V1408" s="3"/>
      <c r="W1408" s="3"/>
      <c r="X1408" s="3"/>
      <c r="Y1408" s="3"/>
      <c r="Z1408" s="3"/>
      <c r="AA1408" s="3"/>
      <c r="AB1408" s="3"/>
    </row>
    <row r="1409" spans="1:28" x14ac:dyDescent="0.3">
      <c r="A1409" s="2"/>
      <c r="F1409" s="3"/>
      <c r="G1409" s="3"/>
      <c r="N1409" s="3"/>
      <c r="Q1409" s="3"/>
      <c r="R1409" s="3"/>
      <c r="S1409" s="3"/>
      <c r="V1409" s="3"/>
      <c r="W1409" s="3"/>
      <c r="X1409" s="3"/>
      <c r="Y1409" s="3"/>
      <c r="Z1409" s="3"/>
      <c r="AA1409" s="3"/>
      <c r="AB1409" s="3"/>
    </row>
    <row r="1410" spans="1:28" x14ac:dyDescent="0.3">
      <c r="A1410" s="2"/>
      <c r="F1410" s="3"/>
      <c r="G1410" s="3"/>
      <c r="N1410" s="3"/>
      <c r="Q1410" s="3"/>
      <c r="R1410" s="3"/>
      <c r="S1410" s="3"/>
      <c r="V1410" s="3"/>
      <c r="W1410" s="3"/>
      <c r="X1410" s="3"/>
      <c r="Y1410" s="3"/>
      <c r="Z1410" s="3"/>
      <c r="AA1410" s="3"/>
      <c r="AB1410" s="3"/>
    </row>
    <row r="1411" spans="1:28" x14ac:dyDescent="0.3">
      <c r="A1411" s="2"/>
      <c r="F1411" s="3"/>
      <c r="G1411" s="3"/>
      <c r="N1411" s="3"/>
      <c r="Q1411" s="3"/>
      <c r="R1411" s="3"/>
      <c r="S1411" s="3"/>
      <c r="V1411" s="3"/>
      <c r="W1411" s="3"/>
      <c r="X1411" s="3"/>
      <c r="Y1411" s="3"/>
      <c r="Z1411" s="3"/>
      <c r="AA1411" s="3"/>
      <c r="AB1411" s="3"/>
    </row>
    <row r="1412" spans="1:28" x14ac:dyDescent="0.3">
      <c r="A1412" s="2"/>
      <c r="F1412" s="3"/>
      <c r="G1412" s="3"/>
      <c r="N1412" s="3"/>
      <c r="Q1412" s="3"/>
      <c r="R1412" s="3"/>
      <c r="S1412" s="3"/>
      <c r="V1412" s="3"/>
      <c r="W1412" s="3"/>
      <c r="X1412" s="3"/>
      <c r="Y1412" s="3"/>
      <c r="Z1412" s="3"/>
      <c r="AA1412" s="3"/>
      <c r="AB1412" s="3"/>
    </row>
    <row r="1413" spans="1:28" x14ac:dyDescent="0.3">
      <c r="A1413" s="2"/>
      <c r="F1413" s="3"/>
      <c r="G1413" s="3"/>
      <c r="N1413" s="3"/>
      <c r="Q1413" s="3"/>
      <c r="R1413" s="3"/>
      <c r="S1413" s="3"/>
      <c r="V1413" s="3"/>
      <c r="W1413" s="3"/>
      <c r="X1413" s="3"/>
      <c r="Y1413" s="3"/>
      <c r="Z1413" s="3"/>
      <c r="AA1413" s="3"/>
      <c r="AB1413" s="3"/>
    </row>
    <row r="1414" spans="1:28" x14ac:dyDescent="0.3">
      <c r="A1414" s="2"/>
      <c r="F1414" s="3"/>
      <c r="G1414" s="3"/>
      <c r="N1414" s="3"/>
      <c r="Q1414" s="3"/>
      <c r="R1414" s="3"/>
      <c r="S1414" s="3"/>
      <c r="V1414" s="3"/>
      <c r="W1414" s="3"/>
      <c r="X1414" s="3"/>
      <c r="Y1414" s="3"/>
      <c r="Z1414" s="3"/>
      <c r="AA1414" s="3"/>
      <c r="AB1414" s="3"/>
    </row>
    <row r="1415" spans="1:28" x14ac:dyDescent="0.3">
      <c r="A1415" s="2"/>
      <c r="F1415" s="3"/>
      <c r="G1415" s="3"/>
      <c r="N1415" s="3"/>
      <c r="Q1415" s="3"/>
      <c r="R1415" s="3"/>
      <c r="S1415" s="3"/>
      <c r="V1415" s="3"/>
      <c r="W1415" s="3"/>
      <c r="X1415" s="3"/>
      <c r="Y1415" s="3"/>
      <c r="Z1415" s="3"/>
      <c r="AA1415" s="3"/>
      <c r="AB1415" s="3"/>
    </row>
    <row r="1416" spans="1:28" x14ac:dyDescent="0.3">
      <c r="A1416" s="2"/>
      <c r="F1416" s="3"/>
      <c r="G1416" s="3"/>
      <c r="N1416" s="3"/>
      <c r="Q1416" s="3"/>
      <c r="R1416" s="3"/>
      <c r="S1416" s="3"/>
      <c r="V1416" s="3"/>
      <c r="W1416" s="3"/>
      <c r="X1416" s="3"/>
      <c r="Y1416" s="3"/>
      <c r="Z1416" s="3"/>
      <c r="AA1416" s="3"/>
      <c r="AB1416" s="3"/>
    </row>
    <row r="1417" spans="1:28" x14ac:dyDescent="0.3">
      <c r="A1417" s="2"/>
      <c r="F1417" s="3"/>
      <c r="G1417" s="3"/>
      <c r="N1417" s="3"/>
      <c r="Q1417" s="3"/>
      <c r="R1417" s="3"/>
      <c r="S1417" s="3"/>
      <c r="V1417" s="3"/>
      <c r="W1417" s="3"/>
      <c r="X1417" s="3"/>
      <c r="Y1417" s="3"/>
      <c r="Z1417" s="3"/>
      <c r="AA1417" s="3"/>
      <c r="AB1417" s="3"/>
    </row>
    <row r="1418" spans="1:28" x14ac:dyDescent="0.3">
      <c r="A1418" s="2"/>
      <c r="F1418" s="3"/>
      <c r="G1418" s="3"/>
      <c r="N1418" s="3"/>
      <c r="Q1418" s="3"/>
      <c r="R1418" s="3"/>
      <c r="S1418" s="3"/>
      <c r="V1418" s="3"/>
      <c r="W1418" s="3"/>
      <c r="X1418" s="3"/>
      <c r="Y1418" s="3"/>
      <c r="Z1418" s="3"/>
      <c r="AA1418" s="3"/>
      <c r="AB1418" s="3"/>
    </row>
    <row r="1419" spans="1:28" x14ac:dyDescent="0.3">
      <c r="A1419" s="2"/>
      <c r="F1419" s="3"/>
      <c r="G1419" s="3"/>
      <c r="N1419" s="3"/>
      <c r="Q1419" s="3"/>
      <c r="R1419" s="3"/>
      <c r="S1419" s="3"/>
      <c r="V1419" s="3"/>
      <c r="W1419" s="3"/>
      <c r="X1419" s="3"/>
      <c r="Y1419" s="3"/>
      <c r="Z1419" s="3"/>
      <c r="AA1419" s="3"/>
      <c r="AB1419" s="3"/>
    </row>
    <row r="1420" spans="1:28" x14ac:dyDescent="0.3">
      <c r="A1420" s="2"/>
      <c r="F1420" s="3"/>
      <c r="G1420" s="3"/>
      <c r="N1420" s="3"/>
      <c r="Q1420" s="3"/>
      <c r="R1420" s="3"/>
      <c r="S1420" s="3"/>
      <c r="V1420" s="3"/>
      <c r="W1420" s="3"/>
      <c r="X1420" s="3"/>
      <c r="Y1420" s="3"/>
      <c r="Z1420" s="3"/>
      <c r="AA1420" s="3"/>
      <c r="AB1420" s="3"/>
    </row>
    <row r="1421" spans="1:28" x14ac:dyDescent="0.3">
      <c r="A1421" s="2"/>
      <c r="F1421" s="3"/>
      <c r="G1421" s="3"/>
      <c r="N1421" s="3"/>
      <c r="Q1421" s="3"/>
      <c r="R1421" s="3"/>
      <c r="S1421" s="3"/>
      <c r="V1421" s="3"/>
      <c r="W1421" s="3"/>
      <c r="X1421" s="3"/>
      <c r="Y1421" s="3"/>
      <c r="Z1421" s="3"/>
      <c r="AA1421" s="3"/>
      <c r="AB1421" s="3"/>
    </row>
    <row r="1422" spans="1:28" x14ac:dyDescent="0.3">
      <c r="A1422" s="2"/>
      <c r="F1422" s="3"/>
      <c r="G1422" s="3"/>
      <c r="N1422" s="3"/>
      <c r="Q1422" s="3"/>
      <c r="R1422" s="3"/>
      <c r="S1422" s="3"/>
      <c r="V1422" s="3"/>
      <c r="W1422" s="3"/>
      <c r="X1422" s="3"/>
      <c r="Y1422" s="3"/>
      <c r="Z1422" s="3"/>
      <c r="AA1422" s="3"/>
      <c r="AB1422" s="3"/>
    </row>
    <row r="1423" spans="1:28" x14ac:dyDescent="0.3">
      <c r="A1423" s="2"/>
      <c r="F1423" s="3"/>
      <c r="G1423" s="3"/>
      <c r="N1423" s="3"/>
      <c r="Q1423" s="3"/>
      <c r="R1423" s="3"/>
      <c r="S1423" s="3"/>
      <c r="V1423" s="3"/>
      <c r="W1423" s="3"/>
      <c r="X1423" s="3"/>
      <c r="Y1423" s="3"/>
      <c r="Z1423" s="3"/>
      <c r="AA1423" s="3"/>
      <c r="AB1423" s="3"/>
    </row>
    <row r="1424" spans="1:28" x14ac:dyDescent="0.3">
      <c r="A1424" s="2"/>
      <c r="F1424" s="3"/>
      <c r="G1424" s="3"/>
      <c r="N1424" s="3"/>
      <c r="Q1424" s="3"/>
      <c r="R1424" s="3"/>
      <c r="S1424" s="3"/>
      <c r="V1424" s="3"/>
      <c r="W1424" s="3"/>
      <c r="X1424" s="3"/>
      <c r="Y1424" s="3"/>
      <c r="Z1424" s="3"/>
      <c r="AA1424" s="3"/>
      <c r="AB1424" s="3"/>
    </row>
    <row r="1425" spans="1:28" x14ac:dyDescent="0.3">
      <c r="A1425" s="2"/>
      <c r="F1425" s="3"/>
      <c r="G1425" s="3"/>
      <c r="N1425" s="3"/>
      <c r="Q1425" s="3"/>
      <c r="R1425" s="3"/>
      <c r="S1425" s="3"/>
      <c r="V1425" s="3"/>
      <c r="W1425" s="3"/>
      <c r="X1425" s="3"/>
      <c r="Y1425" s="3"/>
      <c r="Z1425" s="3"/>
      <c r="AA1425" s="3"/>
      <c r="AB1425" s="3"/>
    </row>
    <row r="1426" spans="1:28" x14ac:dyDescent="0.3">
      <c r="A1426" s="2"/>
      <c r="F1426" s="3"/>
      <c r="G1426" s="3"/>
      <c r="N1426" s="3"/>
      <c r="Q1426" s="3"/>
      <c r="R1426" s="3"/>
      <c r="S1426" s="3"/>
      <c r="V1426" s="3"/>
      <c r="W1426" s="3"/>
      <c r="X1426" s="3"/>
      <c r="Y1426" s="3"/>
      <c r="Z1426" s="3"/>
      <c r="AA1426" s="3"/>
      <c r="AB1426" s="3"/>
    </row>
    <row r="1427" spans="1:28" x14ac:dyDescent="0.3">
      <c r="A1427" s="2"/>
      <c r="F1427" s="3"/>
      <c r="G1427" s="3"/>
      <c r="N1427" s="3"/>
      <c r="Q1427" s="3"/>
      <c r="R1427" s="3"/>
      <c r="S1427" s="3"/>
      <c r="V1427" s="3"/>
      <c r="W1427" s="3"/>
      <c r="X1427" s="3"/>
      <c r="Y1427" s="3"/>
      <c r="Z1427" s="3"/>
      <c r="AA1427" s="3"/>
      <c r="AB1427" s="3"/>
    </row>
    <row r="1428" spans="1:28" x14ac:dyDescent="0.3">
      <c r="A1428" s="2"/>
      <c r="F1428" s="3"/>
      <c r="G1428" s="3"/>
      <c r="N1428" s="3"/>
      <c r="Q1428" s="3"/>
      <c r="R1428" s="3"/>
      <c r="S1428" s="3"/>
      <c r="V1428" s="3"/>
      <c r="W1428" s="3"/>
      <c r="X1428" s="3"/>
      <c r="Y1428" s="3"/>
      <c r="Z1428" s="3"/>
      <c r="AA1428" s="3"/>
      <c r="AB1428" s="3"/>
    </row>
    <row r="1429" spans="1:28" x14ac:dyDescent="0.3">
      <c r="A1429" s="2"/>
      <c r="F1429" s="3"/>
      <c r="G1429" s="3"/>
      <c r="N1429" s="3"/>
      <c r="Q1429" s="3"/>
      <c r="R1429" s="3"/>
      <c r="S1429" s="3"/>
      <c r="V1429" s="3"/>
      <c r="W1429" s="3"/>
      <c r="X1429" s="3"/>
      <c r="Y1429" s="3"/>
      <c r="Z1429" s="3"/>
      <c r="AA1429" s="3"/>
      <c r="AB1429" s="3"/>
    </row>
    <row r="1430" spans="1:28" x14ac:dyDescent="0.3">
      <c r="A1430" s="2"/>
      <c r="F1430" s="3"/>
      <c r="G1430" s="3"/>
      <c r="N1430" s="3"/>
      <c r="Q1430" s="3"/>
      <c r="R1430" s="3"/>
      <c r="S1430" s="3"/>
      <c r="V1430" s="3"/>
      <c r="W1430" s="3"/>
      <c r="X1430" s="3"/>
      <c r="Y1430" s="3"/>
      <c r="Z1430" s="3"/>
      <c r="AA1430" s="3"/>
      <c r="AB1430" s="3"/>
    </row>
    <row r="1431" spans="1:28" x14ac:dyDescent="0.3">
      <c r="A1431" s="2"/>
      <c r="F1431" s="3"/>
      <c r="G1431" s="3"/>
      <c r="N1431" s="3"/>
      <c r="Q1431" s="3"/>
      <c r="R1431" s="3"/>
      <c r="S1431" s="3"/>
      <c r="V1431" s="3"/>
      <c r="W1431" s="3"/>
      <c r="X1431" s="3"/>
      <c r="Y1431" s="3"/>
      <c r="Z1431" s="3"/>
      <c r="AA1431" s="3"/>
      <c r="AB1431" s="3"/>
    </row>
    <row r="1432" spans="1:28" x14ac:dyDescent="0.3">
      <c r="A1432" s="2"/>
      <c r="F1432" s="3"/>
      <c r="G1432" s="3"/>
      <c r="N1432" s="3"/>
      <c r="Q1432" s="3"/>
      <c r="R1432" s="3"/>
      <c r="S1432" s="3"/>
      <c r="V1432" s="3"/>
      <c r="W1432" s="3"/>
      <c r="X1432" s="3"/>
      <c r="Y1432" s="3"/>
      <c r="Z1432" s="3"/>
      <c r="AA1432" s="3"/>
      <c r="AB1432" s="3"/>
    </row>
    <row r="1433" spans="1:28" x14ac:dyDescent="0.3">
      <c r="A1433" s="2"/>
      <c r="F1433" s="3"/>
      <c r="G1433" s="3"/>
      <c r="N1433" s="3"/>
      <c r="Q1433" s="3"/>
      <c r="R1433" s="3"/>
      <c r="S1433" s="3"/>
      <c r="V1433" s="3"/>
      <c r="W1433" s="3"/>
      <c r="X1433" s="3"/>
      <c r="Y1433" s="3"/>
      <c r="Z1433" s="3"/>
      <c r="AA1433" s="3"/>
      <c r="AB1433" s="3"/>
    </row>
    <row r="1434" spans="1:28" x14ac:dyDescent="0.3">
      <c r="A1434" s="2"/>
      <c r="F1434" s="3"/>
      <c r="G1434" s="3"/>
      <c r="N1434" s="3"/>
      <c r="Q1434" s="3"/>
      <c r="R1434" s="3"/>
      <c r="S1434" s="3"/>
      <c r="V1434" s="3"/>
      <c r="W1434" s="3"/>
      <c r="X1434" s="3"/>
      <c r="Y1434" s="3"/>
      <c r="Z1434" s="3"/>
      <c r="AA1434" s="3"/>
      <c r="AB1434" s="3"/>
    </row>
    <row r="1435" spans="1:28" x14ac:dyDescent="0.3">
      <c r="A1435" s="2"/>
      <c r="F1435" s="3"/>
      <c r="G1435" s="3"/>
      <c r="N1435" s="3"/>
      <c r="Q1435" s="3"/>
      <c r="R1435" s="3"/>
      <c r="S1435" s="3"/>
      <c r="V1435" s="3"/>
      <c r="W1435" s="3"/>
      <c r="X1435" s="3"/>
      <c r="Y1435" s="3"/>
      <c r="Z1435" s="3"/>
      <c r="AA1435" s="3"/>
      <c r="AB1435" s="3"/>
    </row>
    <row r="1436" spans="1:28" x14ac:dyDescent="0.3">
      <c r="A1436" s="2"/>
      <c r="F1436" s="3"/>
      <c r="G1436" s="3"/>
      <c r="N1436" s="3"/>
      <c r="Q1436" s="3"/>
      <c r="R1436" s="3"/>
      <c r="S1436" s="3"/>
      <c r="V1436" s="3"/>
      <c r="W1436" s="3"/>
      <c r="X1436" s="3"/>
      <c r="Y1436" s="3"/>
      <c r="Z1436" s="3"/>
      <c r="AA1436" s="3"/>
      <c r="AB1436" s="3"/>
    </row>
    <row r="1437" spans="1:28" x14ac:dyDescent="0.3">
      <c r="A1437" s="2"/>
      <c r="F1437" s="3"/>
      <c r="G1437" s="3"/>
      <c r="N1437" s="3"/>
      <c r="Q1437" s="3"/>
      <c r="R1437" s="3"/>
      <c r="S1437" s="3"/>
      <c r="V1437" s="3"/>
      <c r="W1437" s="3"/>
      <c r="X1437" s="3"/>
      <c r="Y1437" s="3"/>
      <c r="Z1437" s="3"/>
      <c r="AA1437" s="3"/>
      <c r="AB1437" s="3"/>
    </row>
    <row r="1438" spans="1:28" x14ac:dyDescent="0.3">
      <c r="A1438" s="2"/>
      <c r="F1438" s="3"/>
      <c r="G1438" s="3"/>
      <c r="N1438" s="3"/>
      <c r="Q1438" s="3"/>
      <c r="R1438" s="3"/>
      <c r="S1438" s="3"/>
      <c r="V1438" s="3"/>
      <c r="W1438" s="3"/>
      <c r="X1438" s="3"/>
      <c r="Y1438" s="3"/>
      <c r="Z1438" s="3"/>
      <c r="AA1438" s="3"/>
      <c r="AB1438" s="3"/>
    </row>
    <row r="1439" spans="1:28" x14ac:dyDescent="0.3">
      <c r="A1439" s="2"/>
      <c r="F1439" s="3"/>
      <c r="G1439" s="3"/>
      <c r="N1439" s="3"/>
      <c r="Q1439" s="3"/>
      <c r="R1439" s="3"/>
      <c r="S1439" s="3"/>
      <c r="V1439" s="3"/>
      <c r="W1439" s="3"/>
      <c r="X1439" s="3"/>
      <c r="Y1439" s="3"/>
      <c r="Z1439" s="3"/>
      <c r="AA1439" s="3"/>
      <c r="AB1439" s="3"/>
    </row>
    <row r="1440" spans="1:28" x14ac:dyDescent="0.3">
      <c r="A1440" s="2"/>
      <c r="F1440" s="3"/>
      <c r="G1440" s="3"/>
      <c r="N1440" s="3"/>
      <c r="Q1440" s="3"/>
      <c r="R1440" s="3"/>
      <c r="S1440" s="3"/>
      <c r="V1440" s="3"/>
      <c r="W1440" s="3"/>
      <c r="X1440" s="3"/>
      <c r="Y1440" s="3"/>
      <c r="Z1440" s="3"/>
      <c r="AA1440" s="3"/>
      <c r="AB1440" s="3"/>
    </row>
    <row r="1441" spans="1:28" x14ac:dyDescent="0.3">
      <c r="A1441" s="2"/>
      <c r="F1441" s="3"/>
      <c r="G1441" s="3"/>
      <c r="N1441" s="3"/>
      <c r="Q1441" s="3"/>
      <c r="R1441" s="3"/>
      <c r="S1441" s="3"/>
      <c r="V1441" s="3"/>
      <c r="W1441" s="3"/>
      <c r="X1441" s="3"/>
      <c r="Y1441" s="3"/>
      <c r="Z1441" s="3"/>
      <c r="AA1441" s="3"/>
      <c r="AB1441" s="3"/>
    </row>
    <row r="1442" spans="1:28" x14ac:dyDescent="0.3">
      <c r="A1442" s="2"/>
      <c r="F1442" s="3"/>
      <c r="G1442" s="3"/>
      <c r="N1442" s="3"/>
      <c r="Q1442" s="3"/>
      <c r="R1442" s="3"/>
      <c r="S1442" s="3"/>
      <c r="V1442" s="3"/>
      <c r="W1442" s="3"/>
      <c r="X1442" s="3"/>
      <c r="Y1442" s="3"/>
      <c r="Z1442" s="3"/>
      <c r="AA1442" s="3"/>
      <c r="AB1442" s="3"/>
    </row>
    <row r="1443" spans="1:28" x14ac:dyDescent="0.3">
      <c r="A1443" s="2"/>
      <c r="F1443" s="3"/>
      <c r="G1443" s="3"/>
      <c r="N1443" s="3"/>
      <c r="Q1443" s="3"/>
      <c r="R1443" s="3"/>
      <c r="S1443" s="3"/>
      <c r="V1443" s="3"/>
      <c r="W1443" s="3"/>
      <c r="X1443" s="3"/>
      <c r="Y1443" s="3"/>
      <c r="Z1443" s="3"/>
      <c r="AA1443" s="3"/>
      <c r="AB1443" s="3"/>
    </row>
    <row r="1444" spans="1:28" x14ac:dyDescent="0.3">
      <c r="A1444" s="2"/>
      <c r="F1444" s="3"/>
      <c r="G1444" s="3"/>
      <c r="N1444" s="3"/>
      <c r="Q1444" s="3"/>
      <c r="R1444" s="3"/>
      <c r="S1444" s="3"/>
      <c r="V1444" s="3"/>
      <c r="W1444" s="3"/>
      <c r="X1444" s="3"/>
      <c r="Y1444" s="3"/>
      <c r="Z1444" s="3"/>
      <c r="AA1444" s="3"/>
      <c r="AB1444" s="3"/>
    </row>
    <row r="1445" spans="1:28" x14ac:dyDescent="0.3">
      <c r="A1445" s="2"/>
      <c r="F1445" s="3"/>
      <c r="G1445" s="3"/>
      <c r="N1445" s="3"/>
      <c r="Q1445" s="3"/>
      <c r="R1445" s="3"/>
      <c r="S1445" s="3"/>
      <c r="V1445" s="3"/>
      <c r="W1445" s="3"/>
      <c r="X1445" s="3"/>
      <c r="Y1445" s="3"/>
      <c r="Z1445" s="3"/>
      <c r="AA1445" s="3"/>
      <c r="AB1445" s="3"/>
    </row>
    <row r="1446" spans="1:28" x14ac:dyDescent="0.3">
      <c r="A1446" s="2"/>
      <c r="F1446" s="3"/>
      <c r="G1446" s="3"/>
      <c r="N1446" s="3"/>
      <c r="Q1446" s="3"/>
      <c r="R1446" s="3"/>
      <c r="S1446" s="3"/>
      <c r="V1446" s="3"/>
      <c r="W1446" s="3"/>
      <c r="X1446" s="3"/>
      <c r="Y1446" s="3"/>
      <c r="Z1446" s="3"/>
      <c r="AA1446" s="3"/>
      <c r="AB1446" s="3"/>
    </row>
    <row r="1447" spans="1:28" x14ac:dyDescent="0.3">
      <c r="A1447" s="2"/>
      <c r="F1447" s="3"/>
      <c r="G1447" s="3"/>
      <c r="N1447" s="3"/>
      <c r="Q1447" s="3"/>
      <c r="R1447" s="3"/>
      <c r="S1447" s="3"/>
      <c r="V1447" s="3"/>
      <c r="W1447" s="3"/>
      <c r="X1447" s="3"/>
      <c r="Y1447" s="3"/>
      <c r="Z1447" s="3"/>
      <c r="AA1447" s="3"/>
      <c r="AB1447" s="3"/>
    </row>
    <row r="1448" spans="1:28" x14ac:dyDescent="0.3">
      <c r="A1448" s="2"/>
      <c r="F1448" s="3"/>
      <c r="G1448" s="3"/>
      <c r="N1448" s="3"/>
      <c r="Q1448" s="3"/>
      <c r="R1448" s="3"/>
      <c r="S1448" s="3"/>
      <c r="V1448" s="3"/>
      <c r="W1448" s="3"/>
      <c r="X1448" s="3"/>
      <c r="Y1448" s="3"/>
      <c r="Z1448" s="3"/>
      <c r="AA1448" s="3"/>
      <c r="AB1448" s="3"/>
    </row>
    <row r="1449" spans="1:28" x14ac:dyDescent="0.3">
      <c r="A1449" s="2"/>
      <c r="F1449" s="3"/>
      <c r="G1449" s="3"/>
      <c r="N1449" s="3"/>
      <c r="Q1449" s="3"/>
      <c r="R1449" s="3"/>
      <c r="S1449" s="3"/>
      <c r="V1449" s="3"/>
      <c r="W1449" s="3"/>
      <c r="X1449" s="3"/>
      <c r="Y1449" s="3"/>
      <c r="Z1449" s="3"/>
      <c r="AA1449" s="3"/>
      <c r="AB1449" s="3"/>
    </row>
    <row r="1450" spans="1:28" x14ac:dyDescent="0.3">
      <c r="A1450" s="2"/>
      <c r="F1450" s="3"/>
      <c r="G1450" s="3"/>
      <c r="N1450" s="3"/>
      <c r="Q1450" s="3"/>
      <c r="R1450" s="3"/>
      <c r="S1450" s="3"/>
      <c r="V1450" s="3"/>
      <c r="W1450" s="3"/>
      <c r="X1450" s="3"/>
      <c r="Y1450" s="3"/>
      <c r="Z1450" s="3"/>
      <c r="AA1450" s="3"/>
      <c r="AB1450" s="3"/>
    </row>
    <row r="1451" spans="1:28" x14ac:dyDescent="0.3">
      <c r="A1451" s="2"/>
      <c r="F1451" s="3"/>
      <c r="G1451" s="3"/>
      <c r="N1451" s="3"/>
      <c r="Q1451" s="3"/>
      <c r="R1451" s="3"/>
      <c r="S1451" s="3"/>
      <c r="V1451" s="3"/>
      <c r="W1451" s="3"/>
      <c r="X1451" s="3"/>
      <c r="Y1451" s="3"/>
      <c r="Z1451" s="3"/>
      <c r="AA1451" s="3"/>
      <c r="AB1451" s="3"/>
    </row>
    <row r="1452" spans="1:28" x14ac:dyDescent="0.3">
      <c r="A1452" s="2"/>
      <c r="F1452" s="3"/>
      <c r="G1452" s="3"/>
      <c r="N1452" s="3"/>
      <c r="Q1452" s="3"/>
      <c r="R1452" s="3"/>
      <c r="S1452" s="3"/>
      <c r="V1452" s="3"/>
      <c r="W1452" s="3"/>
      <c r="X1452" s="3"/>
      <c r="Y1452" s="3"/>
      <c r="Z1452" s="3"/>
      <c r="AA1452" s="3"/>
      <c r="AB1452" s="3"/>
    </row>
    <row r="1453" spans="1:28" x14ac:dyDescent="0.3">
      <c r="A1453" s="2"/>
      <c r="F1453" s="3"/>
      <c r="G1453" s="3"/>
      <c r="N1453" s="3"/>
      <c r="Q1453" s="3"/>
      <c r="R1453" s="3"/>
      <c r="S1453" s="3"/>
      <c r="V1453" s="3"/>
      <c r="W1453" s="3"/>
      <c r="X1453" s="3"/>
      <c r="Y1453" s="3"/>
      <c r="Z1453" s="3"/>
      <c r="AA1453" s="3"/>
      <c r="AB1453" s="3"/>
    </row>
    <row r="1454" spans="1:28" x14ac:dyDescent="0.3">
      <c r="A1454" s="2"/>
      <c r="F1454" s="3"/>
      <c r="G1454" s="3"/>
      <c r="N1454" s="3"/>
      <c r="Q1454" s="3"/>
      <c r="R1454" s="3"/>
      <c r="S1454" s="3"/>
      <c r="V1454" s="3"/>
      <c r="W1454" s="3"/>
      <c r="X1454" s="3"/>
      <c r="Y1454" s="3"/>
      <c r="Z1454" s="3"/>
      <c r="AA1454" s="3"/>
      <c r="AB1454" s="3"/>
    </row>
    <row r="1455" spans="1:28" x14ac:dyDescent="0.3">
      <c r="A1455" s="2"/>
      <c r="F1455" s="3"/>
      <c r="G1455" s="3"/>
      <c r="N1455" s="3"/>
      <c r="Q1455" s="3"/>
      <c r="R1455" s="3"/>
      <c r="S1455" s="3"/>
      <c r="V1455" s="3"/>
      <c r="W1455" s="3"/>
      <c r="X1455" s="3"/>
      <c r="Y1455" s="3"/>
      <c r="Z1455" s="3"/>
      <c r="AA1455" s="3"/>
      <c r="AB1455" s="3"/>
    </row>
    <row r="1456" spans="1:28" x14ac:dyDescent="0.3">
      <c r="A1456" s="2"/>
      <c r="F1456" s="3"/>
      <c r="G1456" s="3"/>
      <c r="N1456" s="3"/>
      <c r="Q1456" s="3"/>
      <c r="R1456" s="3"/>
      <c r="S1456" s="3"/>
      <c r="V1456" s="3"/>
      <c r="W1456" s="3"/>
      <c r="X1456" s="3"/>
      <c r="Y1456" s="3"/>
      <c r="Z1456" s="3"/>
      <c r="AA1456" s="3"/>
      <c r="AB1456" s="3"/>
    </row>
    <row r="1457" spans="1:28" x14ac:dyDescent="0.3">
      <c r="A1457" s="2"/>
      <c r="F1457" s="3"/>
      <c r="G1457" s="3"/>
      <c r="N1457" s="3"/>
      <c r="Q1457" s="3"/>
      <c r="R1457" s="3"/>
      <c r="S1457" s="3"/>
      <c r="V1457" s="3"/>
      <c r="W1457" s="3"/>
      <c r="X1457" s="3"/>
      <c r="Y1457" s="3"/>
      <c r="Z1457" s="3"/>
      <c r="AA1457" s="3"/>
      <c r="AB1457" s="3"/>
    </row>
    <row r="1458" spans="1:28" x14ac:dyDescent="0.3">
      <c r="A1458" s="2"/>
      <c r="F1458" s="3"/>
      <c r="G1458" s="3"/>
      <c r="N1458" s="3"/>
      <c r="Q1458" s="3"/>
      <c r="R1458" s="3"/>
      <c r="S1458" s="3"/>
      <c r="V1458" s="3"/>
      <c r="W1458" s="3"/>
      <c r="X1458" s="3"/>
      <c r="Y1458" s="3"/>
      <c r="Z1458" s="3"/>
      <c r="AA1458" s="3"/>
      <c r="AB1458" s="3"/>
    </row>
    <row r="1459" spans="1:28" x14ac:dyDescent="0.3">
      <c r="A1459" s="2"/>
      <c r="F1459" s="3"/>
      <c r="G1459" s="3"/>
      <c r="N1459" s="3"/>
      <c r="Q1459" s="3"/>
      <c r="R1459" s="3"/>
      <c r="S1459" s="3"/>
      <c r="V1459" s="3"/>
      <c r="W1459" s="3"/>
      <c r="X1459" s="3"/>
      <c r="Y1459" s="3"/>
      <c r="Z1459" s="3"/>
      <c r="AA1459" s="3"/>
      <c r="AB1459" s="3"/>
    </row>
    <row r="1460" spans="1:28" x14ac:dyDescent="0.3">
      <c r="A1460" s="2"/>
      <c r="F1460" s="3"/>
      <c r="G1460" s="3"/>
      <c r="N1460" s="3"/>
      <c r="Q1460" s="3"/>
      <c r="R1460" s="3"/>
      <c r="S1460" s="3"/>
      <c r="V1460" s="3"/>
      <c r="W1460" s="3"/>
      <c r="X1460" s="3"/>
      <c r="Y1460" s="3"/>
      <c r="Z1460" s="3"/>
      <c r="AA1460" s="3"/>
      <c r="AB1460" s="3"/>
    </row>
    <row r="1461" spans="1:28" x14ac:dyDescent="0.3">
      <c r="A1461" s="2"/>
      <c r="F1461" s="3"/>
      <c r="G1461" s="3"/>
      <c r="N1461" s="3"/>
      <c r="Q1461" s="3"/>
      <c r="R1461" s="3"/>
      <c r="S1461" s="3"/>
      <c r="V1461" s="3"/>
      <c r="W1461" s="3"/>
      <c r="X1461" s="3"/>
      <c r="Y1461" s="3"/>
      <c r="Z1461" s="3"/>
      <c r="AA1461" s="3"/>
      <c r="AB1461" s="3"/>
    </row>
    <row r="1462" spans="1:28" x14ac:dyDescent="0.3">
      <c r="A1462" s="2"/>
      <c r="F1462" s="3"/>
      <c r="G1462" s="3"/>
      <c r="N1462" s="3"/>
      <c r="Q1462" s="3"/>
      <c r="R1462" s="3"/>
      <c r="S1462" s="3"/>
      <c r="V1462" s="3"/>
      <c r="W1462" s="3"/>
      <c r="X1462" s="3"/>
      <c r="Y1462" s="3"/>
      <c r="Z1462" s="3"/>
      <c r="AA1462" s="3"/>
      <c r="AB1462" s="3"/>
    </row>
    <row r="1463" spans="1:28" x14ac:dyDescent="0.3">
      <c r="A1463" s="2"/>
      <c r="F1463" s="3"/>
      <c r="G1463" s="3"/>
      <c r="N1463" s="3"/>
      <c r="Q1463" s="3"/>
      <c r="R1463" s="3"/>
      <c r="S1463" s="3"/>
      <c r="V1463" s="3"/>
      <c r="W1463" s="3"/>
      <c r="X1463" s="3"/>
      <c r="Y1463" s="3"/>
      <c r="Z1463" s="3"/>
      <c r="AA1463" s="3"/>
      <c r="AB1463" s="3"/>
    </row>
    <row r="1464" spans="1:28" x14ac:dyDescent="0.3">
      <c r="A1464" s="2"/>
      <c r="F1464" s="3"/>
      <c r="G1464" s="3"/>
      <c r="N1464" s="3"/>
      <c r="Q1464" s="3"/>
      <c r="R1464" s="3"/>
      <c r="S1464" s="3"/>
      <c r="V1464" s="3"/>
      <c r="W1464" s="3"/>
      <c r="X1464" s="3"/>
      <c r="Y1464" s="3"/>
      <c r="Z1464" s="3"/>
      <c r="AA1464" s="3"/>
      <c r="AB1464" s="3"/>
    </row>
    <row r="1465" spans="1:28" x14ac:dyDescent="0.3">
      <c r="A1465" s="2"/>
      <c r="F1465" s="3"/>
      <c r="G1465" s="3"/>
      <c r="N1465" s="3"/>
      <c r="Q1465" s="3"/>
      <c r="R1465" s="3"/>
      <c r="S1465" s="3"/>
      <c r="V1465" s="3"/>
      <c r="W1465" s="3"/>
      <c r="X1465" s="3"/>
      <c r="Y1465" s="3"/>
      <c r="Z1465" s="3"/>
      <c r="AA1465" s="3"/>
      <c r="AB1465" s="3"/>
    </row>
    <row r="1466" spans="1:28" x14ac:dyDescent="0.3">
      <c r="A1466" s="2"/>
      <c r="F1466" s="3"/>
      <c r="G1466" s="3"/>
      <c r="N1466" s="3"/>
      <c r="Q1466" s="3"/>
      <c r="R1466" s="3"/>
      <c r="S1466" s="3"/>
      <c r="V1466" s="3"/>
      <c r="W1466" s="3"/>
      <c r="X1466" s="3"/>
      <c r="Y1466" s="3"/>
      <c r="Z1466" s="3"/>
      <c r="AA1466" s="3"/>
      <c r="AB1466" s="3"/>
    </row>
    <row r="1467" spans="1:28" x14ac:dyDescent="0.3">
      <c r="A1467" s="2"/>
      <c r="F1467" s="3"/>
      <c r="G1467" s="3"/>
      <c r="N1467" s="3"/>
      <c r="Q1467" s="3"/>
      <c r="R1467" s="3"/>
      <c r="S1467" s="3"/>
      <c r="V1467" s="3"/>
      <c r="W1467" s="3"/>
      <c r="X1467" s="3"/>
      <c r="Y1467" s="3"/>
      <c r="Z1467" s="3"/>
      <c r="AA1467" s="3"/>
      <c r="AB1467" s="3"/>
    </row>
    <row r="1468" spans="1:28" x14ac:dyDescent="0.3">
      <c r="A1468" s="2"/>
      <c r="F1468" s="3"/>
      <c r="G1468" s="3"/>
      <c r="N1468" s="3"/>
      <c r="Q1468" s="3"/>
      <c r="R1468" s="3"/>
      <c r="S1468" s="3"/>
      <c r="V1468" s="3"/>
      <c r="W1468" s="3"/>
      <c r="X1468" s="3"/>
      <c r="Y1468" s="3"/>
      <c r="Z1468" s="3"/>
      <c r="AA1468" s="3"/>
      <c r="AB1468" s="3"/>
    </row>
    <row r="1469" spans="1:28" x14ac:dyDescent="0.3">
      <c r="A1469" s="2"/>
      <c r="F1469" s="3"/>
      <c r="G1469" s="3"/>
      <c r="N1469" s="3"/>
      <c r="Q1469" s="3"/>
      <c r="R1469" s="3"/>
      <c r="S1469" s="3"/>
      <c r="V1469" s="3"/>
      <c r="W1469" s="3"/>
      <c r="X1469" s="3"/>
      <c r="Y1469" s="3"/>
      <c r="Z1469" s="3"/>
      <c r="AA1469" s="3"/>
      <c r="AB1469" s="3"/>
    </row>
    <row r="1470" spans="1:28" x14ac:dyDescent="0.3">
      <c r="A1470" s="2"/>
      <c r="F1470" s="3"/>
      <c r="G1470" s="3"/>
      <c r="N1470" s="3"/>
      <c r="Q1470" s="3"/>
      <c r="R1470" s="3"/>
      <c r="S1470" s="3"/>
      <c r="V1470" s="3"/>
      <c r="W1470" s="3"/>
      <c r="X1470" s="3"/>
      <c r="Y1470" s="3"/>
      <c r="Z1470" s="3"/>
      <c r="AA1470" s="3"/>
      <c r="AB1470" s="3"/>
    </row>
    <row r="1471" spans="1:28" x14ac:dyDescent="0.3">
      <c r="A1471" s="2"/>
      <c r="F1471" s="3"/>
      <c r="G1471" s="3"/>
      <c r="N1471" s="3"/>
      <c r="Q1471" s="3"/>
      <c r="R1471" s="3"/>
      <c r="S1471" s="3"/>
      <c r="V1471" s="3"/>
      <c r="W1471" s="3"/>
      <c r="X1471" s="3"/>
      <c r="Y1471" s="3"/>
      <c r="Z1471" s="3"/>
      <c r="AA1471" s="3"/>
      <c r="AB1471" s="3"/>
    </row>
    <row r="1472" spans="1:28" x14ac:dyDescent="0.3">
      <c r="A1472" s="2"/>
      <c r="F1472" s="3"/>
      <c r="G1472" s="3"/>
      <c r="N1472" s="3"/>
      <c r="Q1472" s="3"/>
      <c r="R1472" s="3"/>
      <c r="S1472" s="3"/>
      <c r="V1472" s="3"/>
      <c r="W1472" s="3"/>
      <c r="X1472" s="3"/>
      <c r="Y1472" s="3"/>
      <c r="Z1472" s="3"/>
      <c r="AA1472" s="3"/>
      <c r="AB1472" s="3"/>
    </row>
    <row r="1473" spans="1:28" x14ac:dyDescent="0.3">
      <c r="A1473" s="2"/>
      <c r="F1473" s="3"/>
      <c r="G1473" s="3"/>
      <c r="N1473" s="3"/>
      <c r="Q1473" s="3"/>
      <c r="R1473" s="3"/>
      <c r="S1473" s="3"/>
      <c r="V1473" s="3"/>
      <c r="W1473" s="3"/>
      <c r="X1473" s="3"/>
      <c r="Y1473" s="3"/>
      <c r="Z1473" s="3"/>
      <c r="AA1473" s="3"/>
      <c r="AB1473" s="3"/>
    </row>
    <row r="1474" spans="1:28" x14ac:dyDescent="0.3">
      <c r="A1474" s="2"/>
      <c r="F1474" s="3"/>
      <c r="G1474" s="3"/>
      <c r="N1474" s="3"/>
      <c r="Q1474" s="3"/>
      <c r="R1474" s="3"/>
      <c r="S1474" s="3"/>
      <c r="V1474" s="3"/>
      <c r="W1474" s="3"/>
      <c r="X1474" s="3"/>
      <c r="Y1474" s="3"/>
      <c r="Z1474" s="3"/>
      <c r="AA1474" s="3"/>
      <c r="AB1474" s="3"/>
    </row>
    <row r="1475" spans="1:28" x14ac:dyDescent="0.3">
      <c r="A1475" s="2"/>
      <c r="F1475" s="3"/>
      <c r="G1475" s="3"/>
      <c r="N1475" s="3"/>
      <c r="Q1475" s="3"/>
      <c r="R1475" s="3"/>
      <c r="S1475" s="3"/>
      <c r="V1475" s="3"/>
      <c r="W1475" s="3"/>
      <c r="X1475" s="3"/>
      <c r="Y1475" s="3"/>
      <c r="Z1475" s="3"/>
      <c r="AA1475" s="3"/>
      <c r="AB1475" s="3"/>
    </row>
    <row r="1476" spans="1:28" x14ac:dyDescent="0.3">
      <c r="A1476" s="2"/>
      <c r="F1476" s="3"/>
      <c r="G1476" s="3"/>
      <c r="N1476" s="3"/>
      <c r="Q1476" s="3"/>
      <c r="R1476" s="3"/>
      <c r="S1476" s="3"/>
      <c r="V1476" s="3"/>
      <c r="W1476" s="3"/>
      <c r="X1476" s="3"/>
      <c r="Y1476" s="3"/>
      <c r="Z1476" s="3"/>
      <c r="AA1476" s="3"/>
      <c r="AB1476" s="3"/>
    </row>
    <row r="1477" spans="1:28" x14ac:dyDescent="0.3">
      <c r="A1477" s="2"/>
      <c r="F1477" s="3"/>
      <c r="G1477" s="3"/>
      <c r="N1477" s="3"/>
      <c r="Q1477" s="3"/>
      <c r="R1477" s="3"/>
      <c r="S1477" s="3"/>
      <c r="V1477" s="3"/>
      <c r="W1477" s="3"/>
      <c r="X1477" s="3"/>
      <c r="Y1477" s="3"/>
      <c r="Z1477" s="3"/>
      <c r="AA1477" s="3"/>
      <c r="AB1477" s="3"/>
    </row>
    <row r="1478" spans="1:28" x14ac:dyDescent="0.3">
      <c r="A1478" s="2"/>
      <c r="F1478" s="3"/>
      <c r="G1478" s="3"/>
      <c r="N1478" s="3"/>
      <c r="Q1478" s="3"/>
      <c r="R1478" s="3"/>
      <c r="S1478" s="3"/>
      <c r="V1478" s="3"/>
      <c r="W1478" s="3"/>
      <c r="X1478" s="3"/>
      <c r="Y1478" s="3"/>
      <c r="Z1478" s="3"/>
      <c r="AA1478" s="3"/>
      <c r="AB1478" s="3"/>
    </row>
    <row r="1479" spans="1:28" x14ac:dyDescent="0.3">
      <c r="A1479" s="2"/>
      <c r="F1479" s="3"/>
      <c r="G1479" s="3"/>
      <c r="N1479" s="3"/>
      <c r="Q1479" s="3"/>
      <c r="R1479" s="3"/>
      <c r="S1479" s="3"/>
      <c r="V1479" s="3"/>
      <c r="W1479" s="3"/>
      <c r="X1479" s="3"/>
      <c r="Y1479" s="3"/>
      <c r="Z1479" s="3"/>
      <c r="AA1479" s="3"/>
      <c r="AB1479" s="3"/>
    </row>
    <row r="1480" spans="1:28" x14ac:dyDescent="0.3">
      <c r="A1480" s="2"/>
      <c r="F1480" s="3"/>
      <c r="G1480" s="3"/>
      <c r="N1480" s="3"/>
      <c r="Q1480" s="3"/>
      <c r="R1480" s="3"/>
      <c r="S1480" s="3"/>
      <c r="V1480" s="3"/>
      <c r="W1480" s="3"/>
      <c r="X1480" s="3"/>
      <c r="Y1480" s="3"/>
      <c r="Z1480" s="3"/>
      <c r="AA1480" s="3"/>
      <c r="AB1480" s="3"/>
    </row>
    <row r="1481" spans="1:28" x14ac:dyDescent="0.3">
      <c r="A1481" s="2"/>
      <c r="F1481" s="3"/>
      <c r="G1481" s="3"/>
      <c r="N1481" s="3"/>
      <c r="Q1481" s="3"/>
      <c r="R1481" s="3"/>
      <c r="S1481" s="3"/>
      <c r="V1481" s="3"/>
      <c r="W1481" s="3"/>
      <c r="X1481" s="3"/>
      <c r="Y1481" s="3"/>
      <c r="Z1481" s="3"/>
      <c r="AA1481" s="3"/>
      <c r="AB1481" s="3"/>
    </row>
    <row r="1482" spans="1:28" x14ac:dyDescent="0.3">
      <c r="A1482" s="2"/>
      <c r="F1482" s="3"/>
      <c r="G1482" s="3"/>
      <c r="N1482" s="3"/>
      <c r="Q1482" s="3"/>
      <c r="R1482" s="3"/>
      <c r="S1482" s="3"/>
      <c r="V1482" s="3"/>
      <c r="W1482" s="3"/>
      <c r="X1482" s="3"/>
      <c r="Y1482" s="3"/>
      <c r="Z1482" s="3"/>
      <c r="AA1482" s="3"/>
      <c r="AB1482" s="3"/>
    </row>
    <row r="1483" spans="1:28" x14ac:dyDescent="0.3">
      <c r="A1483" s="2"/>
      <c r="F1483" s="3"/>
      <c r="G1483" s="3"/>
      <c r="N1483" s="3"/>
      <c r="Q1483" s="3"/>
      <c r="R1483" s="3"/>
      <c r="S1483" s="3"/>
      <c r="V1483" s="3"/>
      <c r="W1483" s="3"/>
      <c r="X1483" s="3"/>
      <c r="Y1483" s="3"/>
      <c r="Z1483" s="3"/>
      <c r="AA1483" s="3"/>
      <c r="AB1483" s="3"/>
    </row>
    <row r="1484" spans="1:28" x14ac:dyDescent="0.3">
      <c r="A1484" s="2"/>
      <c r="F1484" s="3"/>
      <c r="G1484" s="3"/>
      <c r="N1484" s="3"/>
      <c r="Q1484" s="3"/>
      <c r="R1484" s="3"/>
      <c r="S1484" s="3"/>
      <c r="V1484" s="3"/>
      <c r="W1484" s="3"/>
      <c r="X1484" s="3"/>
      <c r="Y1484" s="3"/>
      <c r="Z1484" s="3"/>
      <c r="AA1484" s="3"/>
      <c r="AB1484" s="3"/>
    </row>
    <row r="1485" spans="1:28" x14ac:dyDescent="0.3">
      <c r="A1485" s="2"/>
      <c r="F1485" s="3"/>
      <c r="G1485" s="3"/>
      <c r="N1485" s="3"/>
      <c r="Q1485" s="3"/>
      <c r="R1485" s="3"/>
      <c r="S1485" s="3"/>
      <c r="V1485" s="3"/>
      <c r="W1485" s="3"/>
      <c r="X1485" s="3"/>
      <c r="Y1485" s="3"/>
      <c r="Z1485" s="3"/>
      <c r="AA1485" s="3"/>
      <c r="AB1485" s="3"/>
    </row>
    <row r="1486" spans="1:28" x14ac:dyDescent="0.3">
      <c r="A1486" s="2"/>
      <c r="F1486" s="3"/>
      <c r="G1486" s="3"/>
      <c r="N1486" s="3"/>
      <c r="Q1486" s="3"/>
      <c r="R1486" s="3"/>
      <c r="S1486" s="3"/>
      <c r="V1486" s="3"/>
      <c r="W1486" s="3"/>
      <c r="X1486" s="3"/>
      <c r="Y1486" s="3"/>
      <c r="Z1486" s="3"/>
      <c r="AA1486" s="3"/>
      <c r="AB1486" s="3"/>
    </row>
    <row r="1487" spans="1:28" x14ac:dyDescent="0.3">
      <c r="A1487" s="2"/>
      <c r="F1487" s="3"/>
      <c r="G1487" s="3"/>
      <c r="N1487" s="3"/>
      <c r="Q1487" s="3"/>
      <c r="R1487" s="3"/>
      <c r="S1487" s="3"/>
      <c r="V1487" s="3"/>
      <c r="W1487" s="3"/>
      <c r="X1487" s="3"/>
      <c r="Y1487" s="3"/>
      <c r="Z1487" s="3"/>
      <c r="AA1487" s="3"/>
      <c r="AB1487" s="3"/>
    </row>
    <row r="1488" spans="1:28" x14ac:dyDescent="0.3">
      <c r="A1488" s="2"/>
      <c r="F1488" s="3"/>
      <c r="G1488" s="3"/>
      <c r="N1488" s="3"/>
      <c r="Q1488" s="3"/>
      <c r="R1488" s="3"/>
      <c r="S1488" s="3"/>
      <c r="V1488" s="3"/>
      <c r="W1488" s="3"/>
      <c r="X1488" s="3"/>
      <c r="Y1488" s="3"/>
      <c r="Z1488" s="3"/>
      <c r="AA1488" s="3"/>
      <c r="AB1488" s="3"/>
    </row>
    <row r="1489" spans="1:28" x14ac:dyDescent="0.3">
      <c r="A1489" s="2"/>
      <c r="F1489" s="3"/>
      <c r="G1489" s="3"/>
      <c r="N1489" s="3"/>
      <c r="Q1489" s="3"/>
      <c r="R1489" s="3"/>
      <c r="S1489" s="3"/>
      <c r="V1489" s="3"/>
      <c r="W1489" s="3"/>
      <c r="X1489" s="3"/>
      <c r="Y1489" s="3"/>
      <c r="Z1489" s="3"/>
      <c r="AA1489" s="3"/>
      <c r="AB1489" s="3"/>
    </row>
    <row r="1490" spans="1:28" x14ac:dyDescent="0.3">
      <c r="A1490" s="2"/>
      <c r="F1490" s="3"/>
      <c r="G1490" s="3"/>
      <c r="N1490" s="3"/>
      <c r="Q1490" s="3"/>
      <c r="R1490" s="3"/>
      <c r="S1490" s="3"/>
      <c r="V1490" s="3"/>
      <c r="W1490" s="3"/>
      <c r="X1490" s="3"/>
      <c r="Y1490" s="3"/>
      <c r="Z1490" s="3"/>
      <c r="AA1490" s="3"/>
      <c r="AB1490" s="3"/>
    </row>
    <row r="1491" spans="1:28" x14ac:dyDescent="0.3">
      <c r="A1491" s="2"/>
      <c r="F1491" s="3"/>
      <c r="G1491" s="3"/>
      <c r="N1491" s="3"/>
      <c r="Q1491" s="3"/>
      <c r="R1491" s="3"/>
      <c r="S1491" s="3"/>
      <c r="V1491" s="3"/>
      <c r="W1491" s="3"/>
      <c r="X1491" s="3"/>
      <c r="Y1491" s="3"/>
      <c r="Z1491" s="3"/>
      <c r="AA1491" s="3"/>
      <c r="AB1491" s="3"/>
    </row>
    <row r="1492" spans="1:28" x14ac:dyDescent="0.3">
      <c r="A1492" s="2"/>
      <c r="F1492" s="3"/>
      <c r="G1492" s="3"/>
      <c r="N1492" s="3"/>
      <c r="Q1492" s="3"/>
      <c r="R1492" s="3"/>
      <c r="S1492" s="3"/>
      <c r="V1492" s="3"/>
      <c r="W1492" s="3"/>
      <c r="X1492" s="3"/>
      <c r="Y1492" s="3"/>
      <c r="Z1492" s="3"/>
      <c r="AA1492" s="3"/>
      <c r="AB1492" s="3"/>
    </row>
    <row r="1493" spans="1:28" x14ac:dyDescent="0.3">
      <c r="A1493" s="2"/>
      <c r="F1493" s="3"/>
      <c r="G1493" s="3"/>
      <c r="N1493" s="3"/>
      <c r="Q1493" s="3"/>
      <c r="R1493" s="3"/>
      <c r="S1493" s="3"/>
      <c r="V1493" s="3"/>
      <c r="W1493" s="3"/>
      <c r="X1493" s="3"/>
      <c r="Y1493" s="3"/>
      <c r="Z1493" s="3"/>
      <c r="AA1493" s="3"/>
      <c r="AB1493" s="3"/>
    </row>
    <row r="1494" spans="1:28" x14ac:dyDescent="0.3">
      <c r="A1494" s="2"/>
      <c r="F1494" s="3"/>
      <c r="G1494" s="3"/>
      <c r="N1494" s="3"/>
      <c r="Q1494" s="3"/>
      <c r="R1494" s="3"/>
      <c r="S1494" s="3"/>
      <c r="V1494" s="3"/>
      <c r="W1494" s="3"/>
      <c r="X1494" s="3"/>
      <c r="Y1494" s="3"/>
      <c r="Z1494" s="3"/>
      <c r="AA1494" s="3"/>
      <c r="AB1494" s="3"/>
    </row>
    <row r="1495" spans="1:28" x14ac:dyDescent="0.3">
      <c r="A1495" s="2"/>
      <c r="F1495" s="3"/>
      <c r="G1495" s="3"/>
      <c r="N1495" s="3"/>
      <c r="Q1495" s="3"/>
      <c r="R1495" s="3"/>
      <c r="S1495" s="3"/>
      <c r="V1495" s="3"/>
      <c r="W1495" s="3"/>
      <c r="X1495" s="3"/>
      <c r="Y1495" s="3"/>
      <c r="Z1495" s="3"/>
      <c r="AA1495" s="3"/>
      <c r="AB1495" s="3"/>
    </row>
    <row r="1496" spans="1:28" x14ac:dyDescent="0.3">
      <c r="A1496" s="2"/>
      <c r="F1496" s="3"/>
      <c r="G1496" s="3"/>
      <c r="N1496" s="3"/>
      <c r="Q1496" s="3"/>
      <c r="R1496" s="3"/>
      <c r="S1496" s="3"/>
      <c r="V1496" s="3"/>
      <c r="W1496" s="3"/>
      <c r="X1496" s="3"/>
      <c r="Y1496" s="3"/>
      <c r="Z1496" s="3"/>
      <c r="AA1496" s="3"/>
      <c r="AB1496" s="3"/>
    </row>
    <row r="1497" spans="1:28" x14ac:dyDescent="0.3">
      <c r="A1497" s="2"/>
      <c r="F1497" s="3"/>
      <c r="G1497" s="3"/>
      <c r="N1497" s="3"/>
      <c r="Q1497" s="3"/>
      <c r="R1497" s="3"/>
      <c r="S1497" s="3"/>
      <c r="V1497" s="3"/>
      <c r="W1497" s="3"/>
      <c r="X1497" s="3"/>
      <c r="Y1497" s="3"/>
      <c r="Z1497" s="3"/>
      <c r="AA1497" s="3"/>
      <c r="AB1497" s="3"/>
    </row>
    <row r="1498" spans="1:28" x14ac:dyDescent="0.3">
      <c r="A1498" s="2"/>
      <c r="F1498" s="3"/>
      <c r="G1498" s="3"/>
      <c r="N1498" s="3"/>
      <c r="Q1498" s="3"/>
      <c r="R1498" s="3"/>
      <c r="S1498" s="3"/>
      <c r="V1498" s="3"/>
      <c r="W1498" s="3"/>
      <c r="X1498" s="3"/>
      <c r="Y1498" s="3"/>
      <c r="Z1498" s="3"/>
      <c r="AA1498" s="3"/>
      <c r="AB1498" s="3"/>
    </row>
    <row r="1499" spans="1:28" x14ac:dyDescent="0.3">
      <c r="A1499" s="2"/>
      <c r="F1499" s="3"/>
      <c r="G1499" s="3"/>
      <c r="N1499" s="3"/>
      <c r="Q1499" s="3"/>
      <c r="R1499" s="3"/>
      <c r="S1499" s="3"/>
      <c r="V1499" s="3"/>
      <c r="W1499" s="3"/>
      <c r="X1499" s="3"/>
      <c r="Y1499" s="3"/>
      <c r="Z1499" s="3"/>
      <c r="AA1499" s="3"/>
      <c r="AB1499" s="3"/>
    </row>
    <row r="1500" spans="1:28" x14ac:dyDescent="0.3">
      <c r="A1500" s="2"/>
      <c r="F1500" s="3"/>
      <c r="G1500" s="3"/>
      <c r="N1500" s="3"/>
      <c r="Q1500" s="3"/>
      <c r="R1500" s="3"/>
      <c r="S1500" s="3"/>
      <c r="V1500" s="3"/>
      <c r="W1500" s="3"/>
      <c r="X1500" s="3"/>
      <c r="Y1500" s="3"/>
      <c r="Z1500" s="3"/>
      <c r="AA1500" s="3"/>
      <c r="AB1500" s="3"/>
    </row>
    <row r="1501" spans="1:28" x14ac:dyDescent="0.3">
      <c r="A1501" s="2"/>
      <c r="F1501" s="3"/>
      <c r="G1501" s="3"/>
      <c r="N1501" s="3"/>
      <c r="Q1501" s="3"/>
      <c r="R1501" s="3"/>
      <c r="S1501" s="3"/>
      <c r="V1501" s="3"/>
      <c r="W1501" s="3"/>
      <c r="X1501" s="3"/>
      <c r="Y1501" s="3"/>
      <c r="Z1501" s="3"/>
      <c r="AA1501" s="3"/>
      <c r="AB1501" s="3"/>
    </row>
    <row r="1502" spans="1:28" x14ac:dyDescent="0.3">
      <c r="A1502" s="2"/>
      <c r="F1502" s="3"/>
      <c r="G1502" s="3"/>
      <c r="N1502" s="3"/>
      <c r="Q1502" s="3"/>
      <c r="R1502" s="3"/>
      <c r="S1502" s="3"/>
      <c r="V1502" s="3"/>
      <c r="W1502" s="3"/>
      <c r="X1502" s="3"/>
      <c r="Y1502" s="3"/>
      <c r="Z1502" s="3"/>
      <c r="AA1502" s="3"/>
      <c r="AB1502" s="3"/>
    </row>
    <row r="1503" spans="1:28" x14ac:dyDescent="0.3">
      <c r="A1503" s="2"/>
      <c r="F1503" s="3"/>
      <c r="G1503" s="3"/>
      <c r="N1503" s="3"/>
      <c r="Q1503" s="3"/>
      <c r="R1503" s="3"/>
      <c r="S1503" s="3"/>
      <c r="V1503" s="3"/>
      <c r="W1503" s="3"/>
      <c r="X1503" s="3"/>
      <c r="Y1503" s="3"/>
      <c r="Z1503" s="3"/>
      <c r="AA1503" s="3"/>
      <c r="AB1503" s="3"/>
    </row>
    <row r="1504" spans="1:28" x14ac:dyDescent="0.3">
      <c r="A1504" s="2"/>
      <c r="F1504" s="3"/>
      <c r="G1504" s="3"/>
      <c r="N1504" s="3"/>
      <c r="Q1504" s="3"/>
      <c r="R1504" s="3"/>
      <c r="S1504" s="3"/>
      <c r="V1504" s="3"/>
      <c r="W1504" s="3"/>
      <c r="X1504" s="3"/>
      <c r="Y1504" s="3"/>
      <c r="Z1504" s="3"/>
      <c r="AA1504" s="3"/>
      <c r="AB1504" s="3"/>
    </row>
    <row r="1505" spans="1:28" x14ac:dyDescent="0.3">
      <c r="A1505" s="2"/>
      <c r="F1505" s="3"/>
      <c r="G1505" s="3"/>
      <c r="N1505" s="3"/>
      <c r="Q1505" s="3"/>
      <c r="R1505" s="3"/>
      <c r="S1505" s="3"/>
      <c r="V1505" s="3"/>
      <c r="W1505" s="3"/>
      <c r="X1505" s="3"/>
      <c r="Y1505" s="3"/>
      <c r="Z1505" s="3"/>
      <c r="AA1505" s="3"/>
      <c r="AB1505" s="3"/>
    </row>
    <row r="1506" spans="1:28" x14ac:dyDescent="0.3">
      <c r="A1506" s="2"/>
      <c r="F1506" s="3"/>
      <c r="G1506" s="3"/>
      <c r="N1506" s="3"/>
      <c r="Q1506" s="3"/>
      <c r="R1506" s="3"/>
      <c r="S1506" s="3"/>
      <c r="V1506" s="3"/>
      <c r="W1506" s="3"/>
      <c r="X1506" s="3"/>
      <c r="Y1506" s="3"/>
      <c r="Z1506" s="3"/>
      <c r="AA1506" s="3"/>
      <c r="AB1506" s="3"/>
    </row>
    <row r="1507" spans="1:28" x14ac:dyDescent="0.3">
      <c r="A1507" s="2"/>
      <c r="F1507" s="3"/>
      <c r="G1507" s="3"/>
      <c r="N1507" s="3"/>
      <c r="Q1507" s="3"/>
      <c r="R1507" s="3"/>
      <c r="S1507" s="3"/>
      <c r="V1507" s="3"/>
      <c r="W1507" s="3"/>
      <c r="X1507" s="3"/>
      <c r="Y1507" s="3"/>
      <c r="Z1507" s="3"/>
      <c r="AA1507" s="3"/>
      <c r="AB1507" s="3"/>
    </row>
    <row r="1508" spans="1:28" x14ac:dyDescent="0.3">
      <c r="A1508" s="2"/>
      <c r="F1508" s="3"/>
      <c r="G1508" s="3"/>
      <c r="N1508" s="3"/>
      <c r="Q1508" s="3"/>
      <c r="R1508" s="3"/>
      <c r="S1508" s="3"/>
      <c r="V1508" s="3"/>
      <c r="W1508" s="3"/>
      <c r="X1508" s="3"/>
      <c r="Y1508" s="3"/>
      <c r="Z1508" s="3"/>
      <c r="AA1508" s="3"/>
      <c r="AB1508" s="3"/>
    </row>
    <row r="1509" spans="1:28" x14ac:dyDescent="0.3">
      <c r="A1509" s="2"/>
      <c r="F1509" s="3"/>
      <c r="G1509" s="3"/>
      <c r="N1509" s="3"/>
      <c r="Q1509" s="3"/>
      <c r="R1509" s="3"/>
      <c r="S1509" s="3"/>
      <c r="V1509" s="3"/>
      <c r="W1509" s="3"/>
      <c r="X1509" s="3"/>
      <c r="Y1509" s="3"/>
      <c r="Z1509" s="3"/>
      <c r="AA1509" s="3"/>
      <c r="AB1509" s="3"/>
    </row>
    <row r="1510" spans="1:28" x14ac:dyDescent="0.3">
      <c r="A1510" s="2"/>
      <c r="F1510" s="3"/>
      <c r="G1510" s="3"/>
      <c r="N1510" s="3"/>
      <c r="Q1510" s="3"/>
      <c r="R1510" s="3"/>
      <c r="S1510" s="3"/>
      <c r="V1510" s="3"/>
      <c r="W1510" s="3"/>
      <c r="X1510" s="3"/>
      <c r="Y1510" s="3"/>
      <c r="Z1510" s="3"/>
      <c r="AA1510" s="3"/>
      <c r="AB1510" s="3"/>
    </row>
    <row r="1511" spans="1:28" x14ac:dyDescent="0.3">
      <c r="A1511" s="2"/>
      <c r="F1511" s="3"/>
      <c r="G1511" s="3"/>
      <c r="N1511" s="3"/>
      <c r="Q1511" s="3"/>
      <c r="R1511" s="3"/>
      <c r="S1511" s="3"/>
      <c r="V1511" s="3"/>
      <c r="W1511" s="3"/>
      <c r="X1511" s="3"/>
      <c r="Y1511" s="3"/>
      <c r="Z1511" s="3"/>
      <c r="AA1511" s="3"/>
      <c r="AB1511" s="3"/>
    </row>
    <row r="1512" spans="1:28" x14ac:dyDescent="0.3">
      <c r="A1512" s="2"/>
      <c r="F1512" s="3"/>
      <c r="G1512" s="3"/>
      <c r="N1512" s="3"/>
      <c r="Q1512" s="3"/>
      <c r="R1512" s="3"/>
      <c r="S1512" s="3"/>
      <c r="V1512" s="3"/>
      <c r="W1512" s="3"/>
      <c r="X1512" s="3"/>
      <c r="Y1512" s="3"/>
      <c r="Z1512" s="3"/>
      <c r="AA1512" s="3"/>
      <c r="AB1512" s="3"/>
    </row>
    <row r="1513" spans="1:28" x14ac:dyDescent="0.3">
      <c r="A1513" s="2"/>
      <c r="F1513" s="3"/>
      <c r="G1513" s="3"/>
      <c r="N1513" s="3"/>
      <c r="Q1513" s="3"/>
      <c r="R1513" s="3"/>
      <c r="S1513" s="3"/>
      <c r="V1513" s="3"/>
      <c r="W1513" s="3"/>
      <c r="X1513" s="3"/>
      <c r="Y1513" s="3"/>
      <c r="Z1513" s="3"/>
      <c r="AA1513" s="3"/>
      <c r="AB1513" s="3"/>
    </row>
    <row r="1514" spans="1:28" x14ac:dyDescent="0.3">
      <c r="A1514" s="2"/>
      <c r="F1514" s="3"/>
      <c r="G1514" s="3"/>
      <c r="N1514" s="3"/>
      <c r="Q1514" s="3"/>
      <c r="R1514" s="3"/>
      <c r="S1514" s="3"/>
      <c r="V1514" s="3"/>
      <c r="W1514" s="3"/>
      <c r="X1514" s="3"/>
      <c r="Y1514" s="3"/>
      <c r="Z1514" s="3"/>
      <c r="AA1514" s="3"/>
      <c r="AB1514" s="3"/>
    </row>
    <row r="1515" spans="1:28" x14ac:dyDescent="0.3">
      <c r="A1515" s="2"/>
      <c r="F1515" s="3"/>
      <c r="G1515" s="3"/>
      <c r="N1515" s="3"/>
      <c r="Q1515" s="3"/>
      <c r="R1515" s="3"/>
      <c r="S1515" s="3"/>
      <c r="V1515" s="3"/>
      <c r="W1515" s="3"/>
      <c r="X1515" s="3"/>
      <c r="Y1515" s="3"/>
      <c r="Z1515" s="3"/>
      <c r="AA1515" s="3"/>
      <c r="AB1515" s="3"/>
    </row>
    <row r="1516" spans="1:28" x14ac:dyDescent="0.3">
      <c r="A1516" s="2"/>
      <c r="F1516" s="3"/>
      <c r="G1516" s="3"/>
      <c r="N1516" s="3"/>
      <c r="Q1516" s="3"/>
      <c r="R1516" s="3"/>
      <c r="S1516" s="3"/>
      <c r="V1516" s="3"/>
      <c r="W1516" s="3"/>
      <c r="X1516" s="3"/>
      <c r="Y1516" s="3"/>
      <c r="Z1516" s="3"/>
      <c r="AA1516" s="3"/>
      <c r="AB1516" s="3"/>
    </row>
    <row r="1517" spans="1:28" x14ac:dyDescent="0.3">
      <c r="A1517" s="2"/>
      <c r="F1517" s="3"/>
      <c r="G1517" s="3"/>
      <c r="N1517" s="3"/>
      <c r="Q1517" s="3"/>
      <c r="R1517" s="3"/>
      <c r="S1517" s="3"/>
      <c r="V1517" s="3"/>
      <c r="W1517" s="3"/>
      <c r="X1517" s="3"/>
      <c r="Y1517" s="3"/>
      <c r="Z1517" s="3"/>
      <c r="AA1517" s="3"/>
      <c r="AB1517" s="3"/>
    </row>
    <row r="1518" spans="1:28" x14ac:dyDescent="0.3">
      <c r="A1518" s="2"/>
      <c r="F1518" s="3"/>
      <c r="G1518" s="3"/>
      <c r="N1518" s="3"/>
      <c r="Q1518" s="3"/>
      <c r="R1518" s="3"/>
      <c r="S1518" s="3"/>
      <c r="V1518" s="3"/>
      <c r="W1518" s="3"/>
      <c r="X1518" s="3"/>
      <c r="Y1518" s="3"/>
      <c r="Z1518" s="3"/>
      <c r="AA1518" s="3"/>
      <c r="AB1518" s="3"/>
    </row>
    <row r="1519" spans="1:28" x14ac:dyDescent="0.3">
      <c r="A1519" s="2"/>
      <c r="F1519" s="3"/>
      <c r="G1519" s="3"/>
      <c r="N1519" s="3"/>
      <c r="Q1519" s="3"/>
      <c r="R1519" s="3"/>
      <c r="S1519" s="3"/>
      <c r="V1519" s="3"/>
      <c r="W1519" s="3"/>
      <c r="X1519" s="3"/>
      <c r="Y1519" s="3"/>
      <c r="Z1519" s="3"/>
      <c r="AA1519" s="3"/>
      <c r="AB1519" s="3"/>
    </row>
    <row r="1520" spans="1:28" x14ac:dyDescent="0.3">
      <c r="A1520" s="2"/>
      <c r="F1520" s="3"/>
      <c r="G1520" s="3"/>
      <c r="N1520" s="3"/>
      <c r="Q1520" s="3"/>
      <c r="R1520" s="3"/>
      <c r="S1520" s="3"/>
      <c r="V1520" s="3"/>
      <c r="W1520" s="3"/>
      <c r="X1520" s="3"/>
      <c r="Y1520" s="3"/>
      <c r="Z1520" s="3"/>
      <c r="AA1520" s="3"/>
      <c r="AB1520" s="3"/>
    </row>
    <row r="1521" spans="1:28" x14ac:dyDescent="0.3">
      <c r="A1521" s="2"/>
      <c r="F1521" s="3"/>
      <c r="G1521" s="3"/>
      <c r="N1521" s="3"/>
      <c r="Q1521" s="3"/>
      <c r="R1521" s="3"/>
      <c r="S1521" s="3"/>
      <c r="V1521" s="3"/>
      <c r="W1521" s="3"/>
      <c r="X1521" s="3"/>
      <c r="Y1521" s="3"/>
      <c r="Z1521" s="3"/>
      <c r="AA1521" s="3"/>
      <c r="AB1521" s="3"/>
    </row>
    <row r="1522" spans="1:28" x14ac:dyDescent="0.3">
      <c r="A1522" s="2"/>
      <c r="F1522" s="3"/>
      <c r="G1522" s="3"/>
      <c r="N1522" s="3"/>
      <c r="Q1522" s="3"/>
      <c r="R1522" s="3"/>
      <c r="S1522" s="3"/>
      <c r="V1522" s="3"/>
      <c r="W1522" s="3"/>
      <c r="X1522" s="3"/>
      <c r="Y1522" s="3"/>
      <c r="Z1522" s="3"/>
      <c r="AA1522" s="3"/>
      <c r="AB1522" s="3"/>
    </row>
    <row r="1523" spans="1:28" x14ac:dyDescent="0.3">
      <c r="A1523" s="2"/>
      <c r="F1523" s="3"/>
      <c r="G1523" s="3"/>
      <c r="N1523" s="3"/>
      <c r="Q1523" s="3"/>
      <c r="R1523" s="3"/>
      <c r="S1523" s="3"/>
      <c r="V1523" s="3"/>
      <c r="W1523" s="3"/>
      <c r="X1523" s="3"/>
      <c r="Y1523" s="3"/>
      <c r="Z1523" s="3"/>
      <c r="AA1523" s="3"/>
      <c r="AB1523" s="3"/>
    </row>
    <row r="1524" spans="1:28" x14ac:dyDescent="0.3">
      <c r="A1524" s="2"/>
      <c r="F1524" s="3"/>
      <c r="G1524" s="3"/>
      <c r="N1524" s="3"/>
      <c r="Q1524" s="3"/>
      <c r="R1524" s="3"/>
      <c r="S1524" s="3"/>
      <c r="V1524" s="3"/>
      <c r="W1524" s="3"/>
      <c r="X1524" s="3"/>
      <c r="Y1524" s="3"/>
      <c r="Z1524" s="3"/>
      <c r="AA1524" s="3"/>
      <c r="AB1524" s="3"/>
    </row>
    <row r="1525" spans="1:28" x14ac:dyDescent="0.3">
      <c r="A1525" s="2"/>
      <c r="F1525" s="3"/>
      <c r="G1525" s="3"/>
      <c r="N1525" s="3"/>
      <c r="Q1525" s="3"/>
      <c r="R1525" s="3"/>
      <c r="S1525" s="3"/>
      <c r="V1525" s="3"/>
      <c r="W1525" s="3"/>
      <c r="X1525" s="3"/>
      <c r="Y1525" s="3"/>
      <c r="Z1525" s="3"/>
      <c r="AA1525" s="3"/>
      <c r="AB1525" s="3"/>
    </row>
    <row r="1526" spans="1:28" x14ac:dyDescent="0.3">
      <c r="A1526" s="2"/>
      <c r="F1526" s="3"/>
      <c r="G1526" s="3"/>
      <c r="N1526" s="3"/>
      <c r="Q1526" s="3"/>
      <c r="R1526" s="3"/>
      <c r="S1526" s="3"/>
      <c r="V1526" s="3"/>
      <c r="W1526" s="3"/>
      <c r="X1526" s="3"/>
      <c r="Y1526" s="3"/>
      <c r="Z1526" s="3"/>
      <c r="AA1526" s="3"/>
      <c r="AB1526" s="3"/>
    </row>
    <row r="1527" spans="1:28" x14ac:dyDescent="0.3">
      <c r="A1527" s="2"/>
      <c r="F1527" s="3"/>
      <c r="G1527" s="3"/>
      <c r="N1527" s="3"/>
      <c r="Q1527" s="3"/>
      <c r="R1527" s="3"/>
      <c r="S1527" s="3"/>
      <c r="V1527" s="3"/>
      <c r="W1527" s="3"/>
      <c r="X1527" s="3"/>
      <c r="Y1527" s="3"/>
      <c r="Z1527" s="3"/>
      <c r="AA1527" s="3"/>
      <c r="AB1527" s="3"/>
    </row>
    <row r="1528" spans="1:28" x14ac:dyDescent="0.3">
      <c r="A1528" s="2"/>
      <c r="F1528" s="3"/>
      <c r="G1528" s="3"/>
      <c r="N1528" s="3"/>
      <c r="Q1528" s="3"/>
      <c r="R1528" s="3"/>
      <c r="S1528" s="3"/>
      <c r="V1528" s="3"/>
      <c r="W1528" s="3"/>
      <c r="X1528" s="3"/>
      <c r="Y1528" s="3"/>
      <c r="Z1528" s="3"/>
      <c r="AA1528" s="3"/>
      <c r="AB1528" s="3"/>
    </row>
    <row r="1529" spans="1:28" x14ac:dyDescent="0.3">
      <c r="A1529" s="2"/>
      <c r="F1529" s="3"/>
      <c r="G1529" s="3"/>
      <c r="N1529" s="3"/>
      <c r="Q1529" s="3"/>
      <c r="R1529" s="3"/>
      <c r="S1529" s="3"/>
      <c r="V1529" s="3"/>
      <c r="W1529" s="3"/>
      <c r="X1529" s="3"/>
      <c r="Y1529" s="3"/>
      <c r="Z1529" s="3"/>
      <c r="AA1529" s="3"/>
      <c r="AB1529" s="3"/>
    </row>
    <row r="1530" spans="1:28" x14ac:dyDescent="0.3">
      <c r="A1530" s="2"/>
      <c r="F1530" s="3"/>
      <c r="G1530" s="3"/>
      <c r="N1530" s="3"/>
      <c r="Q1530" s="3"/>
      <c r="R1530" s="3"/>
      <c r="S1530" s="3"/>
      <c r="V1530" s="3"/>
      <c r="W1530" s="3"/>
      <c r="X1530" s="3"/>
      <c r="Y1530" s="3"/>
      <c r="Z1530" s="3"/>
      <c r="AA1530" s="3"/>
      <c r="AB1530" s="3"/>
    </row>
    <row r="1531" spans="1:28" x14ac:dyDescent="0.3">
      <c r="A1531" s="2"/>
      <c r="F1531" s="3"/>
      <c r="G1531" s="3"/>
      <c r="N1531" s="3"/>
      <c r="Q1531" s="3"/>
      <c r="R1531" s="3"/>
      <c r="S1531" s="3"/>
      <c r="V1531" s="3"/>
      <c r="W1531" s="3"/>
      <c r="X1531" s="3"/>
      <c r="Y1531" s="3"/>
      <c r="Z1531" s="3"/>
      <c r="AA1531" s="3"/>
      <c r="AB1531" s="3"/>
    </row>
    <row r="1532" spans="1:28" x14ac:dyDescent="0.3">
      <c r="A1532" s="2"/>
      <c r="F1532" s="3"/>
      <c r="G1532" s="3"/>
      <c r="N1532" s="3"/>
      <c r="Q1532" s="3"/>
      <c r="R1532" s="3"/>
      <c r="S1532" s="3"/>
      <c r="V1532" s="3"/>
      <c r="W1532" s="3"/>
      <c r="X1532" s="3"/>
      <c r="Y1532" s="3"/>
      <c r="Z1532" s="3"/>
      <c r="AA1532" s="3"/>
      <c r="AB1532" s="3"/>
    </row>
    <row r="1533" spans="1:28" x14ac:dyDescent="0.3">
      <c r="A1533" s="2"/>
      <c r="F1533" s="3"/>
      <c r="G1533" s="3"/>
      <c r="N1533" s="3"/>
      <c r="Q1533" s="3"/>
      <c r="R1533" s="3"/>
      <c r="S1533" s="3"/>
      <c r="V1533" s="3"/>
      <c r="W1533" s="3"/>
      <c r="X1533" s="3"/>
      <c r="Y1533" s="3"/>
      <c r="Z1533" s="3"/>
      <c r="AA1533" s="3"/>
      <c r="AB1533" s="3"/>
    </row>
    <row r="1534" spans="1:28" x14ac:dyDescent="0.3">
      <c r="A1534" s="2"/>
      <c r="F1534" s="3"/>
      <c r="G1534" s="3"/>
      <c r="N1534" s="3"/>
      <c r="Q1534" s="3"/>
      <c r="R1534" s="3"/>
      <c r="S1534" s="3"/>
      <c r="V1534" s="3"/>
      <c r="W1534" s="3"/>
      <c r="X1534" s="3"/>
      <c r="Y1534" s="3"/>
      <c r="Z1534" s="3"/>
      <c r="AA1534" s="3"/>
      <c r="AB1534" s="3"/>
    </row>
    <row r="1535" spans="1:28" x14ac:dyDescent="0.3">
      <c r="A1535" s="2"/>
      <c r="F1535" s="3"/>
      <c r="G1535" s="3"/>
      <c r="N1535" s="3"/>
      <c r="Q1535" s="3"/>
      <c r="R1535" s="3"/>
      <c r="S1535" s="3"/>
      <c r="V1535" s="3"/>
      <c r="W1535" s="3"/>
      <c r="X1535" s="3"/>
      <c r="Y1535" s="3"/>
      <c r="Z1535" s="3"/>
      <c r="AA1535" s="3"/>
      <c r="AB1535" s="3"/>
    </row>
    <row r="1536" spans="1:28" x14ac:dyDescent="0.3">
      <c r="A1536" s="2"/>
      <c r="F1536" s="3"/>
      <c r="G1536" s="3"/>
      <c r="N1536" s="3"/>
      <c r="Q1536" s="3"/>
      <c r="R1536" s="3"/>
      <c r="S1536" s="3"/>
      <c r="V1536" s="3"/>
      <c r="W1536" s="3"/>
      <c r="X1536" s="3"/>
      <c r="Y1536" s="3"/>
      <c r="Z1536" s="3"/>
      <c r="AA1536" s="3"/>
      <c r="AB1536" s="3"/>
    </row>
    <row r="1537" spans="1:28" x14ac:dyDescent="0.3">
      <c r="A1537" s="2"/>
      <c r="F1537" s="3"/>
      <c r="G1537" s="3"/>
      <c r="N1537" s="3"/>
      <c r="Q1537" s="3"/>
      <c r="R1537" s="3"/>
      <c r="S1537" s="3"/>
      <c r="V1537" s="3"/>
      <c r="W1537" s="3"/>
      <c r="X1537" s="3"/>
      <c r="Y1537" s="3"/>
      <c r="Z1537" s="3"/>
      <c r="AA1537" s="3"/>
      <c r="AB1537" s="3"/>
    </row>
    <row r="1538" spans="1:28" x14ac:dyDescent="0.3">
      <c r="A1538" s="2"/>
      <c r="F1538" s="3"/>
      <c r="G1538" s="3"/>
      <c r="N1538" s="3"/>
      <c r="Q1538" s="3"/>
      <c r="R1538" s="3"/>
      <c r="S1538" s="3"/>
      <c r="V1538" s="3"/>
      <c r="W1538" s="3"/>
      <c r="X1538" s="3"/>
      <c r="Y1538" s="3"/>
      <c r="Z1538" s="3"/>
      <c r="AA1538" s="3"/>
      <c r="AB1538" s="3"/>
    </row>
    <row r="1539" spans="1:28" x14ac:dyDescent="0.3">
      <c r="A1539" s="2"/>
      <c r="F1539" s="3"/>
      <c r="G1539" s="3"/>
      <c r="N1539" s="3"/>
      <c r="Q1539" s="3"/>
      <c r="R1539" s="3"/>
      <c r="S1539" s="3"/>
      <c r="V1539" s="3"/>
      <c r="W1539" s="3"/>
      <c r="X1539" s="3"/>
      <c r="Y1539" s="3"/>
      <c r="Z1539" s="3"/>
      <c r="AA1539" s="3"/>
      <c r="AB1539" s="3"/>
    </row>
    <row r="1540" spans="1:28" x14ac:dyDescent="0.3">
      <c r="A1540" s="2"/>
      <c r="F1540" s="3"/>
      <c r="G1540" s="3"/>
      <c r="N1540" s="3"/>
      <c r="Q1540" s="3"/>
      <c r="R1540" s="3"/>
      <c r="S1540" s="3"/>
      <c r="V1540" s="3"/>
      <c r="W1540" s="3"/>
      <c r="X1540" s="3"/>
      <c r="Y1540" s="3"/>
      <c r="Z1540" s="3"/>
      <c r="AA1540" s="3"/>
      <c r="AB1540" s="3"/>
    </row>
    <row r="1541" spans="1:28" x14ac:dyDescent="0.3">
      <c r="A1541" s="2"/>
      <c r="F1541" s="3"/>
      <c r="G1541" s="3"/>
      <c r="N1541" s="3"/>
      <c r="Q1541" s="3"/>
      <c r="R1541" s="3"/>
      <c r="S1541" s="3"/>
      <c r="V1541" s="3"/>
      <c r="W1541" s="3"/>
      <c r="X1541" s="3"/>
      <c r="Y1541" s="3"/>
      <c r="Z1541" s="3"/>
      <c r="AA1541" s="3"/>
      <c r="AB1541" s="3"/>
    </row>
    <row r="1542" spans="1:28" x14ac:dyDescent="0.3">
      <c r="A1542" s="2"/>
      <c r="F1542" s="3"/>
      <c r="G1542" s="3"/>
      <c r="N1542" s="3"/>
      <c r="Q1542" s="3"/>
      <c r="R1542" s="3"/>
      <c r="S1542" s="3"/>
      <c r="V1542" s="3"/>
      <c r="W1542" s="3"/>
      <c r="X1542" s="3"/>
      <c r="Y1542" s="3"/>
      <c r="Z1542" s="3"/>
      <c r="AA1542" s="3"/>
      <c r="AB1542" s="3"/>
    </row>
    <row r="1543" spans="1:28" x14ac:dyDescent="0.3">
      <c r="A1543" s="2"/>
      <c r="F1543" s="3"/>
      <c r="G1543" s="3"/>
      <c r="N1543" s="3"/>
      <c r="Q1543" s="3"/>
      <c r="R1543" s="3"/>
      <c r="S1543" s="3"/>
      <c r="V1543" s="3"/>
      <c r="W1543" s="3"/>
      <c r="X1543" s="3"/>
      <c r="Y1543" s="3"/>
      <c r="Z1543" s="3"/>
      <c r="AA1543" s="3"/>
      <c r="AB1543" s="3"/>
    </row>
    <row r="1544" spans="1:28" x14ac:dyDescent="0.3">
      <c r="A1544" s="2"/>
      <c r="F1544" s="3"/>
      <c r="G1544" s="3"/>
      <c r="N1544" s="3"/>
      <c r="Q1544" s="3"/>
      <c r="R1544" s="3"/>
      <c r="S1544" s="3"/>
      <c r="V1544" s="3"/>
      <c r="W1544" s="3"/>
      <c r="X1544" s="3"/>
      <c r="Y1544" s="3"/>
      <c r="Z1544" s="3"/>
      <c r="AA1544" s="3"/>
      <c r="AB1544" s="3"/>
    </row>
    <row r="1545" spans="1:28" x14ac:dyDescent="0.3">
      <c r="A1545" s="2"/>
      <c r="F1545" s="3"/>
      <c r="G1545" s="3"/>
      <c r="N1545" s="3"/>
      <c r="Q1545" s="3"/>
      <c r="R1545" s="3"/>
      <c r="S1545" s="3"/>
      <c r="V1545" s="3"/>
      <c r="W1545" s="3"/>
      <c r="X1545" s="3"/>
      <c r="Y1545" s="3"/>
      <c r="Z1545" s="3"/>
      <c r="AA1545" s="3"/>
      <c r="AB1545" s="3"/>
    </row>
    <row r="1546" spans="1:28" x14ac:dyDescent="0.3">
      <c r="A1546" s="2"/>
      <c r="F1546" s="3"/>
      <c r="G1546" s="3"/>
      <c r="N1546" s="3"/>
      <c r="Q1546" s="3"/>
      <c r="R1546" s="3"/>
      <c r="S1546" s="3"/>
      <c r="V1546" s="3"/>
      <c r="W1546" s="3"/>
      <c r="X1546" s="3"/>
      <c r="Y1546" s="3"/>
      <c r="Z1546" s="3"/>
      <c r="AA1546" s="3"/>
      <c r="AB1546" s="3"/>
    </row>
    <row r="1547" spans="1:28" x14ac:dyDescent="0.3">
      <c r="A1547" s="2"/>
      <c r="F1547" s="3"/>
      <c r="G1547" s="3"/>
      <c r="N1547" s="3"/>
      <c r="Q1547" s="3"/>
      <c r="R1547" s="3"/>
      <c r="S1547" s="3"/>
      <c r="V1547" s="3"/>
      <c r="W1547" s="3"/>
      <c r="X1547" s="3"/>
      <c r="Y1547" s="3"/>
      <c r="Z1547" s="3"/>
      <c r="AA1547" s="3"/>
      <c r="AB1547" s="3"/>
    </row>
    <row r="1548" spans="1:28" x14ac:dyDescent="0.3">
      <c r="A1548" s="2"/>
      <c r="F1548" s="3"/>
      <c r="G1548" s="3"/>
      <c r="N1548" s="3"/>
      <c r="Q1548" s="3"/>
      <c r="R1548" s="3"/>
      <c r="S1548" s="3"/>
      <c r="V1548" s="3"/>
      <c r="W1548" s="3"/>
      <c r="X1548" s="3"/>
      <c r="Y1548" s="3"/>
      <c r="Z1548" s="3"/>
      <c r="AA1548" s="3"/>
      <c r="AB1548" s="3"/>
    </row>
    <row r="1549" spans="1:28" x14ac:dyDescent="0.3">
      <c r="A1549" s="2"/>
      <c r="F1549" s="3"/>
      <c r="G1549" s="3"/>
      <c r="N1549" s="3"/>
      <c r="Q1549" s="3"/>
      <c r="R1549" s="3"/>
      <c r="S1549" s="3"/>
      <c r="V1549" s="3"/>
      <c r="W1549" s="3"/>
      <c r="X1549" s="3"/>
      <c r="Y1549" s="3"/>
      <c r="Z1549" s="3"/>
      <c r="AA1549" s="3"/>
      <c r="AB1549" s="3"/>
    </row>
    <row r="1550" spans="1:28" x14ac:dyDescent="0.3">
      <c r="A1550" s="2"/>
      <c r="F1550" s="3"/>
      <c r="G1550" s="3"/>
      <c r="N1550" s="3"/>
      <c r="Q1550" s="3"/>
      <c r="R1550" s="3"/>
      <c r="S1550" s="3"/>
      <c r="V1550" s="3"/>
      <c r="W1550" s="3"/>
      <c r="X1550" s="3"/>
      <c r="Y1550" s="3"/>
      <c r="Z1550" s="3"/>
      <c r="AA1550" s="3"/>
      <c r="AB1550" s="3"/>
    </row>
    <row r="1551" spans="1:28" x14ac:dyDescent="0.3">
      <c r="A1551" s="2"/>
      <c r="F1551" s="3"/>
      <c r="G1551" s="3"/>
      <c r="N1551" s="3"/>
      <c r="Q1551" s="3"/>
      <c r="R1551" s="3"/>
      <c r="S1551" s="3"/>
      <c r="V1551" s="3"/>
      <c r="W1551" s="3"/>
      <c r="X1551" s="3"/>
      <c r="Y1551" s="3"/>
      <c r="Z1551" s="3"/>
      <c r="AA1551" s="3"/>
      <c r="AB1551" s="3"/>
    </row>
    <row r="1552" spans="1:28" x14ac:dyDescent="0.3">
      <c r="A1552" s="2"/>
      <c r="F1552" s="3"/>
      <c r="G1552" s="3"/>
      <c r="N1552" s="3"/>
      <c r="Q1552" s="3"/>
      <c r="R1552" s="3"/>
      <c r="S1552" s="3"/>
      <c r="V1552" s="3"/>
      <c r="W1552" s="3"/>
      <c r="X1552" s="3"/>
      <c r="Y1552" s="3"/>
      <c r="Z1552" s="3"/>
      <c r="AA1552" s="3"/>
      <c r="AB1552" s="3"/>
    </row>
    <row r="1553" spans="1:28" x14ac:dyDescent="0.3">
      <c r="A1553" s="2"/>
      <c r="F1553" s="3"/>
      <c r="G1553" s="3"/>
      <c r="N1553" s="3"/>
      <c r="Q1553" s="3"/>
      <c r="R1553" s="3"/>
      <c r="S1553" s="3"/>
      <c r="V1553" s="3"/>
      <c r="W1553" s="3"/>
      <c r="X1553" s="3"/>
      <c r="Y1553" s="3"/>
      <c r="Z1553" s="3"/>
      <c r="AA1553" s="3"/>
      <c r="AB1553" s="3"/>
    </row>
    <row r="1554" spans="1:28" x14ac:dyDescent="0.3">
      <c r="A1554" s="2"/>
      <c r="F1554" s="3"/>
      <c r="G1554" s="3"/>
      <c r="N1554" s="3"/>
      <c r="Q1554" s="3"/>
      <c r="R1554" s="3"/>
      <c r="S1554" s="3"/>
      <c r="V1554" s="3"/>
      <c r="W1554" s="3"/>
      <c r="X1554" s="3"/>
      <c r="Y1554" s="3"/>
      <c r="Z1554" s="3"/>
      <c r="AA1554" s="3"/>
      <c r="AB1554" s="3"/>
    </row>
    <row r="1555" spans="1:28" x14ac:dyDescent="0.3">
      <c r="A1555" s="2"/>
      <c r="F1555" s="3"/>
      <c r="G1555" s="3"/>
      <c r="N1555" s="3"/>
      <c r="Q1555" s="3"/>
      <c r="R1555" s="3"/>
      <c r="S1555" s="3"/>
      <c r="V1555" s="3"/>
      <c r="W1555" s="3"/>
      <c r="X1555" s="3"/>
      <c r="Y1555" s="3"/>
      <c r="Z1555" s="3"/>
      <c r="AA1555" s="3"/>
      <c r="AB1555" s="3"/>
    </row>
    <row r="1556" spans="1:28" x14ac:dyDescent="0.3">
      <c r="A1556" s="2"/>
      <c r="F1556" s="3"/>
      <c r="G1556" s="3"/>
      <c r="N1556" s="3"/>
      <c r="Q1556" s="3"/>
      <c r="R1556" s="3"/>
      <c r="S1556" s="3"/>
      <c r="V1556" s="3"/>
      <c r="W1556" s="3"/>
      <c r="X1556" s="3"/>
      <c r="Y1556" s="3"/>
      <c r="Z1556" s="3"/>
      <c r="AA1556" s="3"/>
      <c r="AB1556" s="3"/>
    </row>
    <row r="1557" spans="1:28" x14ac:dyDescent="0.3">
      <c r="A1557" s="2"/>
      <c r="F1557" s="3"/>
      <c r="G1557" s="3"/>
      <c r="N1557" s="3"/>
      <c r="Q1557" s="3"/>
      <c r="R1557" s="3"/>
      <c r="S1557" s="3"/>
      <c r="V1557" s="3"/>
      <c r="W1557" s="3"/>
      <c r="X1557" s="3"/>
      <c r="Y1557" s="3"/>
      <c r="Z1557" s="3"/>
      <c r="AA1557" s="3"/>
      <c r="AB1557" s="3"/>
    </row>
    <row r="1558" spans="1:28" x14ac:dyDescent="0.3">
      <c r="A1558" s="2"/>
      <c r="F1558" s="3"/>
      <c r="G1558" s="3"/>
      <c r="N1558" s="3"/>
      <c r="Q1558" s="3"/>
      <c r="R1558" s="3"/>
      <c r="S1558" s="3"/>
      <c r="V1558" s="3"/>
      <c r="W1558" s="3"/>
      <c r="X1558" s="3"/>
      <c r="Y1558" s="3"/>
      <c r="Z1558" s="3"/>
      <c r="AA1558" s="3"/>
      <c r="AB1558" s="3"/>
    </row>
    <row r="1559" spans="1:28" x14ac:dyDescent="0.3">
      <c r="A1559" s="2"/>
      <c r="F1559" s="3"/>
      <c r="G1559" s="3"/>
      <c r="N1559" s="3"/>
      <c r="Q1559" s="3"/>
      <c r="R1559" s="3"/>
      <c r="S1559" s="3"/>
      <c r="V1559" s="3"/>
      <c r="W1559" s="3"/>
      <c r="X1559" s="3"/>
      <c r="Y1559" s="3"/>
      <c r="Z1559" s="3"/>
      <c r="AA1559" s="3"/>
      <c r="AB1559" s="3"/>
    </row>
    <row r="1560" spans="1:28" x14ac:dyDescent="0.3">
      <c r="A1560" s="2"/>
      <c r="F1560" s="3"/>
      <c r="G1560" s="3"/>
      <c r="N1560" s="3"/>
      <c r="Q1560" s="3"/>
      <c r="R1560" s="3"/>
      <c r="S1560" s="3"/>
      <c r="V1560" s="3"/>
      <c r="W1560" s="3"/>
      <c r="X1560" s="3"/>
      <c r="Y1560" s="3"/>
      <c r="Z1560" s="3"/>
      <c r="AA1560" s="3"/>
      <c r="AB1560" s="3"/>
    </row>
    <row r="1561" spans="1:28" x14ac:dyDescent="0.3">
      <c r="A1561" s="2"/>
      <c r="F1561" s="3"/>
      <c r="G1561" s="3"/>
      <c r="N1561" s="3"/>
      <c r="Q1561" s="3"/>
      <c r="R1561" s="3"/>
      <c r="S1561" s="3"/>
      <c r="V1561" s="3"/>
      <c r="W1561" s="3"/>
      <c r="X1561" s="3"/>
      <c r="Y1561" s="3"/>
      <c r="Z1561" s="3"/>
      <c r="AA1561" s="3"/>
      <c r="AB1561" s="3"/>
    </row>
    <row r="1562" spans="1:28" x14ac:dyDescent="0.3">
      <c r="A1562" s="2"/>
      <c r="F1562" s="3"/>
      <c r="G1562" s="3"/>
      <c r="N1562" s="3"/>
      <c r="Q1562" s="3"/>
      <c r="R1562" s="3"/>
      <c r="S1562" s="3"/>
      <c r="V1562" s="3"/>
      <c r="W1562" s="3"/>
      <c r="X1562" s="3"/>
      <c r="Y1562" s="3"/>
      <c r="Z1562" s="3"/>
      <c r="AA1562" s="3"/>
      <c r="AB1562" s="3"/>
    </row>
    <row r="1563" spans="1:28" x14ac:dyDescent="0.3">
      <c r="A1563" s="2"/>
      <c r="F1563" s="3"/>
      <c r="G1563" s="3"/>
      <c r="N1563" s="3"/>
      <c r="Q1563" s="3"/>
      <c r="R1563" s="3"/>
      <c r="S1563" s="3"/>
      <c r="V1563" s="3"/>
      <c r="W1563" s="3"/>
      <c r="X1563" s="3"/>
      <c r="Y1563" s="3"/>
      <c r="Z1563" s="3"/>
      <c r="AA1563" s="3"/>
      <c r="AB1563" s="3"/>
    </row>
    <row r="1564" spans="1:28" x14ac:dyDescent="0.3">
      <c r="A1564" s="2"/>
      <c r="F1564" s="3"/>
      <c r="G1564" s="3"/>
      <c r="N1564" s="3"/>
      <c r="Q1564" s="3"/>
      <c r="R1564" s="3"/>
      <c r="S1564" s="3"/>
      <c r="V1564" s="3"/>
      <c r="W1564" s="3"/>
      <c r="X1564" s="3"/>
      <c r="Y1564" s="3"/>
      <c r="Z1564" s="3"/>
      <c r="AA1564" s="3"/>
      <c r="AB1564" s="3"/>
    </row>
    <row r="1565" spans="1:28" x14ac:dyDescent="0.3">
      <c r="A1565" s="2"/>
      <c r="F1565" s="3"/>
      <c r="G1565" s="3"/>
      <c r="N1565" s="3"/>
      <c r="Q1565" s="3"/>
      <c r="R1565" s="3"/>
      <c r="S1565" s="3"/>
      <c r="V1565" s="3"/>
      <c r="W1565" s="3"/>
      <c r="X1565" s="3"/>
      <c r="Y1565" s="3"/>
      <c r="Z1565" s="3"/>
      <c r="AA1565" s="3"/>
      <c r="AB1565" s="3"/>
    </row>
    <row r="1566" spans="1:28" x14ac:dyDescent="0.3">
      <c r="A1566" s="2"/>
      <c r="F1566" s="3"/>
      <c r="G1566" s="3"/>
      <c r="N1566" s="3"/>
      <c r="Q1566" s="3"/>
      <c r="R1566" s="3"/>
      <c r="S1566" s="3"/>
      <c r="V1566" s="3"/>
      <c r="W1566" s="3"/>
      <c r="X1566" s="3"/>
      <c r="Y1566" s="3"/>
      <c r="Z1566" s="3"/>
      <c r="AA1566" s="3"/>
      <c r="AB1566" s="3"/>
    </row>
    <row r="1567" spans="1:28" x14ac:dyDescent="0.3">
      <c r="A1567" s="2"/>
      <c r="F1567" s="3"/>
      <c r="G1567" s="3"/>
      <c r="N1567" s="3"/>
      <c r="Q1567" s="3"/>
      <c r="R1567" s="3"/>
      <c r="S1567" s="3"/>
      <c r="V1567" s="3"/>
      <c r="W1567" s="3"/>
      <c r="X1567" s="3"/>
      <c r="Y1567" s="3"/>
      <c r="Z1567" s="3"/>
      <c r="AA1567" s="3"/>
      <c r="AB1567" s="3"/>
    </row>
    <row r="1568" spans="1:28" x14ac:dyDescent="0.3">
      <c r="A1568" s="2"/>
      <c r="F1568" s="3"/>
      <c r="G1568" s="3"/>
      <c r="N1568" s="3"/>
      <c r="Q1568" s="3"/>
      <c r="R1568" s="3"/>
      <c r="S1568" s="3"/>
      <c r="V1568" s="3"/>
      <c r="W1568" s="3"/>
      <c r="X1568" s="3"/>
      <c r="Y1568" s="3"/>
      <c r="Z1568" s="3"/>
      <c r="AA1568" s="3"/>
      <c r="AB1568" s="3"/>
    </row>
    <row r="1569" spans="1:28" x14ac:dyDescent="0.3">
      <c r="A1569" s="2"/>
      <c r="F1569" s="3"/>
      <c r="G1569" s="3"/>
      <c r="N1569" s="3"/>
      <c r="Q1569" s="3"/>
      <c r="R1569" s="3"/>
      <c r="S1569" s="3"/>
      <c r="V1569" s="3"/>
      <c r="W1569" s="3"/>
      <c r="X1569" s="3"/>
      <c r="Y1569" s="3"/>
      <c r="Z1569" s="3"/>
      <c r="AA1569" s="3"/>
      <c r="AB1569" s="3"/>
    </row>
    <row r="1570" spans="1:28" x14ac:dyDescent="0.3">
      <c r="A1570" s="2"/>
      <c r="F1570" s="3"/>
      <c r="G1570" s="3"/>
      <c r="N1570" s="3"/>
      <c r="Q1570" s="3"/>
      <c r="R1570" s="3"/>
      <c r="S1570" s="3"/>
      <c r="V1570" s="3"/>
      <c r="W1570" s="3"/>
      <c r="X1570" s="3"/>
      <c r="Y1570" s="3"/>
      <c r="Z1570" s="3"/>
      <c r="AA1570" s="3"/>
      <c r="AB1570" s="3"/>
    </row>
    <row r="1571" spans="1:28" x14ac:dyDescent="0.3">
      <c r="A1571" s="2"/>
      <c r="F1571" s="3"/>
      <c r="G1571" s="3"/>
      <c r="N1571" s="3"/>
      <c r="Q1571" s="3"/>
      <c r="R1571" s="3"/>
      <c r="S1571" s="3"/>
      <c r="V1571" s="3"/>
      <c r="W1571" s="3"/>
      <c r="X1571" s="3"/>
      <c r="Y1571" s="3"/>
      <c r="Z1571" s="3"/>
      <c r="AA1571" s="3"/>
      <c r="AB1571" s="3"/>
    </row>
    <row r="1572" spans="1:28" x14ac:dyDescent="0.3">
      <c r="A1572" s="2"/>
      <c r="F1572" s="3"/>
      <c r="G1572" s="3"/>
      <c r="N1572" s="3"/>
      <c r="Q1572" s="3"/>
      <c r="R1572" s="3"/>
      <c r="S1572" s="3"/>
      <c r="V1572" s="3"/>
      <c r="W1572" s="3"/>
      <c r="X1572" s="3"/>
      <c r="Y1572" s="3"/>
      <c r="Z1572" s="3"/>
      <c r="AA1572" s="3"/>
      <c r="AB1572" s="3"/>
    </row>
    <row r="1573" spans="1:28" x14ac:dyDescent="0.3">
      <c r="A1573" s="2"/>
      <c r="F1573" s="3"/>
      <c r="G1573" s="3"/>
      <c r="N1573" s="3"/>
      <c r="Q1573" s="3"/>
      <c r="R1573" s="3"/>
      <c r="S1573" s="3"/>
      <c r="V1573" s="3"/>
      <c r="W1573" s="3"/>
      <c r="X1573" s="3"/>
      <c r="Y1573" s="3"/>
      <c r="Z1573" s="3"/>
      <c r="AA1573" s="3"/>
      <c r="AB1573" s="3"/>
    </row>
    <row r="1574" spans="1:28" x14ac:dyDescent="0.3">
      <c r="A1574" s="2"/>
      <c r="F1574" s="3"/>
      <c r="G1574" s="3"/>
      <c r="N1574" s="3"/>
      <c r="Q1574" s="3"/>
      <c r="R1574" s="3"/>
      <c r="S1574" s="3"/>
      <c r="V1574" s="3"/>
      <c r="W1574" s="3"/>
      <c r="X1574" s="3"/>
      <c r="Y1574" s="3"/>
      <c r="Z1574" s="3"/>
      <c r="AA1574" s="3"/>
      <c r="AB1574" s="3"/>
    </row>
    <row r="1575" spans="1:28" x14ac:dyDescent="0.3">
      <c r="A1575" s="2"/>
      <c r="F1575" s="3"/>
      <c r="G1575" s="3"/>
      <c r="N1575" s="3"/>
      <c r="Q1575" s="3"/>
      <c r="R1575" s="3"/>
      <c r="S1575" s="3"/>
      <c r="V1575" s="3"/>
      <c r="W1575" s="3"/>
      <c r="X1575" s="3"/>
      <c r="Y1575" s="3"/>
      <c r="Z1575" s="3"/>
      <c r="AA1575" s="3"/>
      <c r="AB1575" s="3"/>
    </row>
    <row r="1576" spans="1:28" x14ac:dyDescent="0.3">
      <c r="A1576" s="2"/>
      <c r="F1576" s="3"/>
      <c r="G1576" s="3"/>
      <c r="N1576" s="3"/>
      <c r="Q1576" s="3"/>
      <c r="R1576" s="3"/>
      <c r="S1576" s="3"/>
      <c r="V1576" s="3"/>
      <c r="W1576" s="3"/>
      <c r="X1576" s="3"/>
      <c r="Y1576" s="3"/>
      <c r="Z1576" s="3"/>
      <c r="AA1576" s="3"/>
      <c r="AB1576" s="3"/>
    </row>
    <row r="1577" spans="1:28" x14ac:dyDescent="0.3">
      <c r="A1577" s="2"/>
      <c r="F1577" s="3"/>
      <c r="G1577" s="3"/>
      <c r="N1577" s="3"/>
      <c r="Q1577" s="3"/>
      <c r="R1577" s="3"/>
      <c r="S1577" s="3"/>
      <c r="V1577" s="3"/>
      <c r="W1577" s="3"/>
      <c r="X1577" s="3"/>
      <c r="Y1577" s="3"/>
      <c r="Z1577" s="3"/>
      <c r="AA1577" s="3"/>
      <c r="AB1577" s="3"/>
    </row>
    <row r="1578" spans="1:28" x14ac:dyDescent="0.3">
      <c r="A1578" s="2"/>
      <c r="F1578" s="3"/>
      <c r="G1578" s="3"/>
      <c r="N1578" s="3"/>
      <c r="Q1578" s="3"/>
      <c r="R1578" s="3"/>
      <c r="S1578" s="3"/>
      <c r="V1578" s="3"/>
      <c r="W1578" s="3"/>
      <c r="X1578" s="3"/>
      <c r="Y1578" s="3"/>
      <c r="Z1578" s="3"/>
      <c r="AA1578" s="3"/>
      <c r="AB1578" s="3"/>
    </row>
    <row r="1579" spans="1:28" x14ac:dyDescent="0.3">
      <c r="A1579" s="2"/>
      <c r="F1579" s="3"/>
      <c r="G1579" s="3"/>
      <c r="N1579" s="3"/>
      <c r="Q1579" s="3"/>
      <c r="R1579" s="3"/>
      <c r="S1579" s="3"/>
      <c r="V1579" s="3"/>
      <c r="W1579" s="3"/>
      <c r="X1579" s="3"/>
      <c r="Y1579" s="3"/>
      <c r="Z1579" s="3"/>
      <c r="AA1579" s="3"/>
      <c r="AB1579" s="3"/>
    </row>
    <row r="1580" spans="1:28" x14ac:dyDescent="0.3">
      <c r="A1580" s="2"/>
      <c r="F1580" s="3"/>
      <c r="G1580" s="3"/>
      <c r="N1580" s="3"/>
      <c r="Q1580" s="3"/>
      <c r="R1580" s="3"/>
      <c r="S1580" s="3"/>
      <c r="V1580" s="3"/>
      <c r="W1580" s="3"/>
      <c r="X1580" s="3"/>
      <c r="Y1580" s="3"/>
      <c r="Z1580" s="3"/>
      <c r="AA1580" s="3"/>
      <c r="AB1580" s="3"/>
    </row>
    <row r="1581" spans="1:28" x14ac:dyDescent="0.3">
      <c r="A1581" s="2"/>
      <c r="F1581" s="3"/>
      <c r="G1581" s="3"/>
      <c r="N1581" s="3"/>
      <c r="Q1581" s="3"/>
      <c r="R1581" s="3"/>
      <c r="S1581" s="3"/>
      <c r="V1581" s="3"/>
      <c r="W1581" s="3"/>
      <c r="X1581" s="3"/>
      <c r="Y1581" s="3"/>
      <c r="Z1581" s="3"/>
      <c r="AA1581" s="3"/>
      <c r="AB1581" s="3"/>
    </row>
    <row r="1582" spans="1:28" x14ac:dyDescent="0.3">
      <c r="A1582" s="2"/>
      <c r="F1582" s="3"/>
      <c r="G1582" s="3"/>
      <c r="N1582" s="3"/>
      <c r="Q1582" s="3"/>
      <c r="R1582" s="3"/>
      <c r="S1582" s="3"/>
      <c r="V1582" s="3"/>
      <c r="W1582" s="3"/>
      <c r="X1582" s="3"/>
      <c r="Y1582" s="3"/>
      <c r="Z1582" s="3"/>
      <c r="AA1582" s="3"/>
      <c r="AB1582" s="3"/>
    </row>
    <row r="1583" spans="1:28" x14ac:dyDescent="0.3">
      <c r="A1583" s="2"/>
      <c r="F1583" s="3"/>
      <c r="G1583" s="3"/>
      <c r="N1583" s="3"/>
      <c r="Q1583" s="3"/>
      <c r="R1583" s="3"/>
      <c r="S1583" s="3"/>
      <c r="V1583" s="3"/>
      <c r="W1583" s="3"/>
      <c r="X1583" s="3"/>
      <c r="Y1583" s="3"/>
      <c r="Z1583" s="3"/>
      <c r="AA1583" s="3"/>
      <c r="AB1583" s="3"/>
    </row>
    <row r="1584" spans="1:28" x14ac:dyDescent="0.3">
      <c r="A1584" s="2"/>
      <c r="F1584" s="3"/>
      <c r="G1584" s="3"/>
      <c r="N1584" s="3"/>
      <c r="Q1584" s="3"/>
      <c r="R1584" s="3"/>
      <c r="S1584" s="3"/>
      <c r="V1584" s="3"/>
      <c r="W1584" s="3"/>
      <c r="X1584" s="3"/>
      <c r="Y1584" s="3"/>
      <c r="Z1584" s="3"/>
      <c r="AA1584" s="3"/>
      <c r="AB1584" s="3"/>
    </row>
    <row r="1585" spans="1:28" x14ac:dyDescent="0.3">
      <c r="A1585" s="2"/>
      <c r="F1585" s="3"/>
      <c r="G1585" s="3"/>
      <c r="N1585" s="3"/>
      <c r="Q1585" s="3"/>
      <c r="R1585" s="3"/>
      <c r="S1585" s="3"/>
      <c r="V1585" s="3"/>
      <c r="W1585" s="3"/>
      <c r="X1585" s="3"/>
      <c r="Y1585" s="3"/>
      <c r="Z1585" s="3"/>
      <c r="AA1585" s="3"/>
      <c r="AB1585" s="3"/>
    </row>
    <row r="1586" spans="1:28" x14ac:dyDescent="0.3">
      <c r="A1586" s="2"/>
      <c r="F1586" s="3"/>
      <c r="G1586" s="3"/>
      <c r="N1586" s="3"/>
      <c r="Q1586" s="3"/>
      <c r="R1586" s="3"/>
      <c r="S1586" s="3"/>
      <c r="V1586" s="3"/>
      <c r="W1586" s="3"/>
      <c r="X1586" s="3"/>
      <c r="Y1586" s="3"/>
      <c r="Z1586" s="3"/>
      <c r="AA1586" s="3"/>
      <c r="AB1586" s="3"/>
    </row>
    <row r="1587" spans="1:28" x14ac:dyDescent="0.3">
      <c r="A1587" s="2"/>
      <c r="F1587" s="3"/>
      <c r="G1587" s="3"/>
      <c r="N1587" s="3"/>
      <c r="Q1587" s="3"/>
      <c r="R1587" s="3"/>
      <c r="S1587" s="3"/>
      <c r="V1587" s="3"/>
      <c r="W1587" s="3"/>
      <c r="X1587" s="3"/>
      <c r="Y1587" s="3"/>
      <c r="Z1587" s="3"/>
      <c r="AA1587" s="3"/>
      <c r="AB1587" s="3"/>
    </row>
    <row r="1588" spans="1:28" x14ac:dyDescent="0.3">
      <c r="A1588" s="2"/>
      <c r="F1588" s="3"/>
      <c r="G1588" s="3"/>
      <c r="N1588" s="3"/>
      <c r="Q1588" s="3"/>
      <c r="R1588" s="3"/>
      <c r="S1588" s="3"/>
      <c r="V1588" s="3"/>
      <c r="W1588" s="3"/>
      <c r="X1588" s="3"/>
      <c r="Y1588" s="3"/>
      <c r="Z1588" s="3"/>
      <c r="AA1588" s="3"/>
      <c r="AB1588" s="3"/>
    </row>
    <row r="1589" spans="1:28" x14ac:dyDescent="0.3">
      <c r="A1589" s="2"/>
      <c r="F1589" s="3"/>
      <c r="G1589" s="3"/>
      <c r="N1589" s="3"/>
      <c r="Q1589" s="3"/>
      <c r="R1589" s="3"/>
      <c r="S1589" s="3"/>
      <c r="V1589" s="3"/>
      <c r="W1589" s="3"/>
      <c r="X1589" s="3"/>
      <c r="Y1589" s="3"/>
      <c r="Z1589" s="3"/>
      <c r="AA1589" s="3"/>
      <c r="AB1589" s="3"/>
    </row>
    <row r="1590" spans="1:28" x14ac:dyDescent="0.3">
      <c r="A1590" s="2"/>
      <c r="F1590" s="3"/>
      <c r="G1590" s="3"/>
      <c r="N1590" s="3"/>
      <c r="Q1590" s="3"/>
      <c r="R1590" s="3"/>
      <c r="S1590" s="3"/>
      <c r="V1590" s="3"/>
      <c r="W1590" s="3"/>
      <c r="X1590" s="3"/>
      <c r="Y1590" s="3"/>
      <c r="Z1590" s="3"/>
      <c r="AA1590" s="3"/>
      <c r="AB1590" s="3"/>
    </row>
    <row r="1591" spans="1:28" x14ac:dyDescent="0.3">
      <c r="A1591" s="2"/>
      <c r="F1591" s="3"/>
      <c r="G1591" s="3"/>
      <c r="N1591" s="3"/>
      <c r="Q1591" s="3"/>
      <c r="R1591" s="3"/>
      <c r="S1591" s="3"/>
      <c r="V1591" s="3"/>
      <c r="W1591" s="3"/>
      <c r="X1591" s="3"/>
      <c r="Y1591" s="3"/>
      <c r="Z1591" s="3"/>
      <c r="AA1591" s="3"/>
      <c r="AB1591" s="3"/>
    </row>
    <row r="1592" spans="1:28" x14ac:dyDescent="0.3">
      <c r="A1592" s="2"/>
      <c r="F1592" s="3"/>
      <c r="G1592" s="3"/>
      <c r="N1592" s="3"/>
      <c r="Q1592" s="3"/>
      <c r="R1592" s="3"/>
      <c r="S1592" s="3"/>
      <c r="V1592" s="3"/>
      <c r="W1592" s="3"/>
      <c r="X1592" s="3"/>
      <c r="Y1592" s="3"/>
      <c r="Z1592" s="3"/>
      <c r="AA1592" s="3"/>
      <c r="AB1592" s="3"/>
    </row>
    <row r="1593" spans="1:28" x14ac:dyDescent="0.3">
      <c r="A1593" s="2"/>
      <c r="F1593" s="3"/>
      <c r="G1593" s="3"/>
      <c r="N1593" s="3"/>
      <c r="Q1593" s="3"/>
      <c r="R1593" s="3"/>
      <c r="S1593" s="3"/>
      <c r="V1593" s="3"/>
      <c r="W1593" s="3"/>
      <c r="X1593" s="3"/>
      <c r="Y1593" s="3"/>
      <c r="Z1593" s="3"/>
      <c r="AA1593" s="3"/>
      <c r="AB1593" s="3"/>
    </row>
    <row r="1594" spans="1:28" x14ac:dyDescent="0.3">
      <c r="A1594" s="2"/>
      <c r="F1594" s="3"/>
      <c r="G1594" s="3"/>
      <c r="N1594" s="3"/>
      <c r="Q1594" s="3"/>
      <c r="R1594" s="3"/>
      <c r="S1594" s="3"/>
      <c r="V1594" s="3"/>
      <c r="W1594" s="3"/>
      <c r="X1594" s="3"/>
      <c r="Y1594" s="3"/>
      <c r="Z1594" s="3"/>
      <c r="AA1594" s="3"/>
      <c r="AB1594" s="3"/>
    </row>
    <row r="1595" spans="1:28" x14ac:dyDescent="0.3">
      <c r="A1595" s="2"/>
      <c r="F1595" s="3"/>
      <c r="G1595" s="3"/>
      <c r="N1595" s="3"/>
      <c r="Q1595" s="3"/>
      <c r="R1595" s="3"/>
      <c r="S1595" s="3"/>
      <c r="V1595" s="3"/>
      <c r="W1595" s="3"/>
      <c r="X1595" s="3"/>
      <c r="Y1595" s="3"/>
      <c r="Z1595" s="3"/>
      <c r="AA1595" s="3"/>
      <c r="AB1595" s="3"/>
    </row>
    <row r="1596" spans="1:28" x14ac:dyDescent="0.3">
      <c r="A1596" s="2"/>
      <c r="F1596" s="3"/>
      <c r="G1596" s="3"/>
      <c r="N1596" s="3"/>
      <c r="Q1596" s="3"/>
      <c r="R1596" s="3"/>
      <c r="S1596" s="3"/>
      <c r="V1596" s="3"/>
      <c r="W1596" s="3"/>
      <c r="X1596" s="3"/>
      <c r="Y1596" s="3"/>
      <c r="Z1596" s="3"/>
      <c r="AA1596" s="3"/>
      <c r="AB1596" s="3"/>
    </row>
    <row r="1597" spans="1:28" x14ac:dyDescent="0.3">
      <c r="A1597" s="2"/>
      <c r="F1597" s="3"/>
      <c r="G1597" s="3"/>
      <c r="N1597" s="3"/>
      <c r="Q1597" s="3"/>
      <c r="R1597" s="3"/>
      <c r="S1597" s="3"/>
      <c r="V1597" s="3"/>
      <c r="W1597" s="3"/>
      <c r="X1597" s="3"/>
      <c r="Y1597" s="3"/>
      <c r="Z1597" s="3"/>
      <c r="AA1597" s="3"/>
      <c r="AB1597" s="3"/>
    </row>
    <row r="1598" spans="1:28" x14ac:dyDescent="0.3">
      <c r="A1598" s="2"/>
      <c r="F1598" s="3"/>
      <c r="G1598" s="3"/>
      <c r="N1598" s="3"/>
      <c r="Q1598" s="3"/>
      <c r="R1598" s="3"/>
      <c r="S1598" s="3"/>
      <c r="V1598" s="3"/>
      <c r="W1598" s="3"/>
      <c r="X1598" s="3"/>
      <c r="Y1598" s="3"/>
      <c r="Z1598" s="3"/>
      <c r="AA1598" s="3"/>
      <c r="AB1598" s="3"/>
    </row>
    <row r="1599" spans="1:28" x14ac:dyDescent="0.3">
      <c r="A1599" s="2"/>
      <c r="F1599" s="3"/>
      <c r="G1599" s="3"/>
      <c r="N1599" s="3"/>
      <c r="Q1599" s="3"/>
      <c r="R1599" s="3"/>
      <c r="S1599" s="3"/>
      <c r="V1599" s="3"/>
      <c r="W1599" s="3"/>
      <c r="X1599" s="3"/>
      <c r="Y1599" s="3"/>
      <c r="Z1599" s="3"/>
      <c r="AA1599" s="3"/>
      <c r="AB1599" s="3"/>
    </row>
    <row r="1600" spans="1:28" x14ac:dyDescent="0.3">
      <c r="A1600" s="2"/>
      <c r="F1600" s="3"/>
      <c r="G1600" s="3"/>
      <c r="N1600" s="3"/>
      <c r="Q1600" s="3"/>
      <c r="R1600" s="3"/>
      <c r="S1600" s="3"/>
      <c r="V1600" s="3"/>
      <c r="W1600" s="3"/>
      <c r="X1600" s="3"/>
      <c r="Y1600" s="3"/>
      <c r="Z1600" s="3"/>
      <c r="AA1600" s="3"/>
      <c r="AB1600" s="3"/>
    </row>
    <row r="1601" spans="1:28" x14ac:dyDescent="0.3">
      <c r="A1601" s="2"/>
      <c r="F1601" s="3"/>
      <c r="G1601" s="3"/>
      <c r="N1601" s="3"/>
      <c r="Q1601" s="3"/>
      <c r="R1601" s="3"/>
      <c r="S1601" s="3"/>
      <c r="V1601" s="3"/>
      <c r="W1601" s="3"/>
      <c r="X1601" s="3"/>
      <c r="Y1601" s="3"/>
      <c r="Z1601" s="3"/>
      <c r="AA1601" s="3"/>
      <c r="AB1601" s="3"/>
    </row>
    <row r="1602" spans="1:28" x14ac:dyDescent="0.3">
      <c r="A1602" s="2"/>
      <c r="F1602" s="3"/>
      <c r="G1602" s="3"/>
      <c r="N1602" s="3"/>
      <c r="Q1602" s="3"/>
      <c r="R1602" s="3"/>
      <c r="S1602" s="3"/>
      <c r="V1602" s="3"/>
      <c r="W1602" s="3"/>
      <c r="X1602" s="3"/>
      <c r="Y1602" s="3"/>
      <c r="Z1602" s="3"/>
      <c r="AA1602" s="3"/>
      <c r="AB1602" s="3"/>
    </row>
    <row r="1603" spans="1:28" x14ac:dyDescent="0.3">
      <c r="A1603" s="2"/>
      <c r="F1603" s="3"/>
      <c r="G1603" s="3"/>
      <c r="N1603" s="3"/>
      <c r="Q1603" s="3"/>
      <c r="R1603" s="3"/>
      <c r="S1603" s="3"/>
      <c r="V1603" s="3"/>
      <c r="W1603" s="3"/>
      <c r="X1603" s="3"/>
      <c r="Y1603" s="3"/>
      <c r="Z1603" s="3"/>
      <c r="AA1603" s="3"/>
      <c r="AB1603" s="3"/>
    </row>
    <row r="1604" spans="1:28" x14ac:dyDescent="0.3">
      <c r="A1604" s="2"/>
      <c r="F1604" s="3"/>
      <c r="G1604" s="3"/>
      <c r="N1604" s="3"/>
      <c r="Q1604" s="3"/>
      <c r="R1604" s="3"/>
      <c r="S1604" s="3"/>
      <c r="V1604" s="3"/>
      <c r="W1604" s="3"/>
      <c r="X1604" s="3"/>
      <c r="Y1604" s="3"/>
      <c r="Z1604" s="3"/>
      <c r="AA1604" s="3"/>
      <c r="AB1604" s="3"/>
    </row>
    <row r="1605" spans="1:28" x14ac:dyDescent="0.3">
      <c r="A1605" s="2"/>
      <c r="F1605" s="3"/>
      <c r="G1605" s="3"/>
      <c r="N1605" s="3"/>
      <c r="Q1605" s="3"/>
      <c r="R1605" s="3"/>
      <c r="S1605" s="3"/>
      <c r="V1605" s="3"/>
      <c r="W1605" s="3"/>
      <c r="X1605" s="3"/>
      <c r="Y1605" s="3"/>
      <c r="Z1605" s="3"/>
      <c r="AA1605" s="3"/>
      <c r="AB1605" s="3"/>
    </row>
    <row r="1606" spans="1:28" x14ac:dyDescent="0.3">
      <c r="A1606" s="2"/>
      <c r="F1606" s="3"/>
      <c r="G1606" s="3"/>
      <c r="N1606" s="3"/>
      <c r="Q1606" s="3"/>
      <c r="R1606" s="3"/>
      <c r="S1606" s="3"/>
      <c r="V1606" s="3"/>
      <c r="W1606" s="3"/>
      <c r="X1606" s="3"/>
      <c r="Y1606" s="3"/>
      <c r="Z1606" s="3"/>
      <c r="AA1606" s="3"/>
      <c r="AB1606" s="3"/>
    </row>
    <row r="1607" spans="1:28" x14ac:dyDescent="0.3">
      <c r="A1607" s="2"/>
      <c r="F1607" s="3"/>
      <c r="G1607" s="3"/>
      <c r="N1607" s="3"/>
      <c r="Q1607" s="3"/>
      <c r="R1607" s="3"/>
      <c r="S1607" s="3"/>
      <c r="V1607" s="3"/>
      <c r="W1607" s="3"/>
      <c r="X1607" s="3"/>
      <c r="Y1607" s="3"/>
      <c r="Z1607" s="3"/>
      <c r="AA1607" s="3"/>
      <c r="AB1607" s="3"/>
    </row>
    <row r="1608" spans="1:28" x14ac:dyDescent="0.3">
      <c r="A1608" s="2"/>
      <c r="F1608" s="3"/>
      <c r="G1608" s="3"/>
      <c r="N1608" s="3"/>
      <c r="Q1608" s="3"/>
      <c r="R1608" s="3"/>
      <c r="S1608" s="3"/>
      <c r="V1608" s="3"/>
      <c r="W1608" s="3"/>
      <c r="X1608" s="3"/>
      <c r="Y1608" s="3"/>
      <c r="Z1608" s="3"/>
      <c r="AA1608" s="3"/>
      <c r="AB1608" s="3"/>
    </row>
    <row r="1609" spans="1:28" x14ac:dyDescent="0.3">
      <c r="A1609" s="2"/>
      <c r="F1609" s="3"/>
      <c r="G1609" s="3"/>
      <c r="N1609" s="3"/>
      <c r="Q1609" s="3"/>
      <c r="R1609" s="3"/>
      <c r="S1609" s="3"/>
      <c r="V1609" s="3"/>
      <c r="W1609" s="3"/>
      <c r="X1609" s="3"/>
      <c r="Y1609" s="3"/>
      <c r="Z1609" s="3"/>
      <c r="AA1609" s="3"/>
      <c r="AB1609" s="3"/>
    </row>
    <row r="1610" spans="1:28" x14ac:dyDescent="0.3">
      <c r="A1610" s="2"/>
      <c r="F1610" s="3"/>
      <c r="G1610" s="3"/>
      <c r="N1610" s="3"/>
      <c r="Q1610" s="3"/>
      <c r="R1610" s="3"/>
      <c r="S1610" s="3"/>
      <c r="V1610" s="3"/>
      <c r="W1610" s="3"/>
      <c r="X1610" s="3"/>
      <c r="Y1610" s="3"/>
      <c r="Z1610" s="3"/>
      <c r="AA1610" s="3"/>
      <c r="AB1610" s="3"/>
    </row>
    <row r="1611" spans="1:28" x14ac:dyDescent="0.3">
      <c r="A1611" s="2"/>
      <c r="F1611" s="3"/>
      <c r="G1611" s="3"/>
      <c r="N1611" s="3"/>
      <c r="Q1611" s="3"/>
      <c r="R1611" s="3"/>
      <c r="S1611" s="3"/>
      <c r="V1611" s="3"/>
      <c r="W1611" s="3"/>
      <c r="X1611" s="3"/>
      <c r="Y1611" s="3"/>
      <c r="Z1611" s="3"/>
      <c r="AA1611" s="3"/>
      <c r="AB1611" s="3"/>
    </row>
    <row r="1612" spans="1:28" x14ac:dyDescent="0.3">
      <c r="A1612" s="2"/>
      <c r="F1612" s="3"/>
      <c r="G1612" s="3"/>
      <c r="N1612" s="3"/>
      <c r="Q1612" s="3"/>
      <c r="R1612" s="3"/>
      <c r="S1612" s="3"/>
      <c r="V1612" s="3"/>
      <c r="W1612" s="3"/>
      <c r="X1612" s="3"/>
      <c r="Y1612" s="3"/>
      <c r="Z1612" s="3"/>
      <c r="AA1612" s="3"/>
      <c r="AB1612" s="3"/>
    </row>
    <row r="1613" spans="1:28" x14ac:dyDescent="0.3">
      <c r="A1613" s="2"/>
      <c r="F1613" s="3"/>
      <c r="G1613" s="3"/>
      <c r="N1613" s="3"/>
      <c r="Q1613" s="3"/>
      <c r="R1613" s="3"/>
      <c r="S1613" s="3"/>
      <c r="V1613" s="3"/>
      <c r="W1613" s="3"/>
      <c r="X1613" s="3"/>
      <c r="Y1613" s="3"/>
      <c r="Z1613" s="3"/>
      <c r="AA1613" s="3"/>
      <c r="AB1613" s="3"/>
    </row>
    <row r="1614" spans="1:28" x14ac:dyDescent="0.3">
      <c r="A1614" s="2"/>
      <c r="F1614" s="3"/>
      <c r="G1614" s="3"/>
      <c r="N1614" s="3"/>
      <c r="Q1614" s="3"/>
      <c r="R1614" s="3"/>
      <c r="S1614" s="3"/>
      <c r="V1614" s="3"/>
      <c r="W1614" s="3"/>
      <c r="X1614" s="3"/>
      <c r="Y1614" s="3"/>
      <c r="Z1614" s="3"/>
      <c r="AA1614" s="3"/>
      <c r="AB1614" s="3"/>
    </row>
    <row r="1615" spans="1:28" x14ac:dyDescent="0.3">
      <c r="A1615" s="2"/>
      <c r="F1615" s="3"/>
      <c r="G1615" s="3"/>
      <c r="N1615" s="3"/>
      <c r="Q1615" s="3"/>
      <c r="R1615" s="3"/>
      <c r="S1615" s="3"/>
      <c r="V1615" s="3"/>
      <c r="W1615" s="3"/>
      <c r="X1615" s="3"/>
      <c r="Y1615" s="3"/>
      <c r="Z1615" s="3"/>
      <c r="AA1615" s="3"/>
      <c r="AB1615" s="3"/>
    </row>
    <row r="1616" spans="1:28" x14ac:dyDescent="0.3">
      <c r="A1616" s="2"/>
      <c r="F1616" s="3"/>
      <c r="G1616" s="3"/>
      <c r="N1616" s="3"/>
      <c r="Q1616" s="3"/>
      <c r="R1616" s="3"/>
      <c r="S1616" s="3"/>
      <c r="V1616" s="3"/>
      <c r="W1616" s="3"/>
      <c r="X1616" s="3"/>
      <c r="Y1616" s="3"/>
      <c r="Z1616" s="3"/>
      <c r="AA1616" s="3"/>
      <c r="AB1616" s="3"/>
    </row>
    <row r="1617" spans="1:28" x14ac:dyDescent="0.3">
      <c r="A1617" s="2"/>
      <c r="F1617" s="3"/>
      <c r="G1617" s="3"/>
      <c r="N1617" s="3"/>
      <c r="Q1617" s="3"/>
      <c r="R1617" s="3"/>
      <c r="S1617" s="3"/>
      <c r="V1617" s="3"/>
      <c r="W1617" s="3"/>
      <c r="X1617" s="3"/>
      <c r="Y1617" s="3"/>
      <c r="Z1617" s="3"/>
      <c r="AA1617" s="3"/>
      <c r="AB1617" s="3"/>
    </row>
    <row r="1618" spans="1:28" x14ac:dyDescent="0.3">
      <c r="A1618" s="2"/>
      <c r="F1618" s="3"/>
      <c r="G1618" s="3"/>
      <c r="N1618" s="3"/>
      <c r="Q1618" s="3"/>
      <c r="R1618" s="3"/>
      <c r="S1618" s="3"/>
      <c r="V1618" s="3"/>
      <c r="W1618" s="3"/>
      <c r="X1618" s="3"/>
      <c r="Y1618" s="3"/>
      <c r="Z1618" s="3"/>
      <c r="AA1618" s="3"/>
      <c r="AB1618" s="3"/>
    </row>
    <row r="1619" spans="1:28" x14ac:dyDescent="0.3">
      <c r="A1619" s="2"/>
      <c r="F1619" s="3"/>
      <c r="G1619" s="3"/>
      <c r="N1619" s="3"/>
      <c r="Q1619" s="3"/>
      <c r="R1619" s="3"/>
      <c r="S1619" s="3"/>
      <c r="V1619" s="3"/>
      <c r="W1619" s="3"/>
      <c r="X1619" s="3"/>
      <c r="Y1619" s="3"/>
      <c r="Z1619" s="3"/>
      <c r="AA1619" s="3"/>
      <c r="AB1619" s="3"/>
    </row>
    <row r="1620" spans="1:28" x14ac:dyDescent="0.3">
      <c r="A1620" s="2"/>
      <c r="F1620" s="3"/>
      <c r="G1620" s="3"/>
      <c r="N1620" s="3"/>
      <c r="Q1620" s="3"/>
      <c r="R1620" s="3"/>
      <c r="S1620" s="3"/>
      <c r="V1620" s="3"/>
      <c r="W1620" s="3"/>
      <c r="X1620" s="3"/>
      <c r="Y1620" s="3"/>
      <c r="Z1620" s="3"/>
      <c r="AA1620" s="3"/>
      <c r="AB1620" s="3"/>
    </row>
    <row r="1621" spans="1:28" x14ac:dyDescent="0.3">
      <c r="A1621" s="2"/>
      <c r="F1621" s="3"/>
      <c r="G1621" s="3"/>
      <c r="N1621" s="3"/>
      <c r="Q1621" s="3"/>
      <c r="R1621" s="3"/>
      <c r="S1621" s="3"/>
      <c r="V1621" s="3"/>
      <c r="W1621" s="3"/>
      <c r="X1621" s="3"/>
      <c r="Y1621" s="3"/>
      <c r="Z1621" s="3"/>
      <c r="AA1621" s="3"/>
      <c r="AB1621" s="3"/>
    </row>
    <row r="1622" spans="1:28" x14ac:dyDescent="0.3">
      <c r="A1622" s="2"/>
      <c r="F1622" s="3"/>
      <c r="G1622" s="3"/>
      <c r="N1622" s="3"/>
      <c r="Q1622" s="3"/>
      <c r="R1622" s="3"/>
      <c r="S1622" s="3"/>
      <c r="V1622" s="3"/>
      <c r="W1622" s="3"/>
      <c r="X1622" s="3"/>
      <c r="Y1622" s="3"/>
      <c r="Z1622" s="3"/>
      <c r="AA1622" s="3"/>
      <c r="AB1622" s="3"/>
    </row>
    <row r="1623" spans="1:28" x14ac:dyDescent="0.3">
      <c r="A1623" s="2"/>
      <c r="F1623" s="3"/>
      <c r="G1623" s="3"/>
      <c r="N1623" s="3"/>
      <c r="Q1623" s="3"/>
      <c r="R1623" s="3"/>
      <c r="S1623" s="3"/>
      <c r="V1623" s="3"/>
      <c r="W1623" s="3"/>
      <c r="X1623" s="3"/>
      <c r="Y1623" s="3"/>
      <c r="Z1623" s="3"/>
      <c r="AA1623" s="3"/>
      <c r="AB1623" s="3"/>
    </row>
    <row r="1624" spans="1:28" x14ac:dyDescent="0.3">
      <c r="A1624" s="2"/>
      <c r="F1624" s="3"/>
      <c r="G1624" s="3"/>
      <c r="N1624" s="3"/>
      <c r="Q1624" s="3"/>
      <c r="R1624" s="3"/>
      <c r="S1624" s="3"/>
      <c r="V1624" s="3"/>
      <c r="W1624" s="3"/>
      <c r="X1624" s="3"/>
      <c r="Y1624" s="3"/>
      <c r="Z1624" s="3"/>
      <c r="AA1624" s="3"/>
      <c r="AB1624" s="3"/>
    </row>
    <row r="1625" spans="1:28" x14ac:dyDescent="0.3">
      <c r="A1625" s="2"/>
      <c r="F1625" s="3"/>
      <c r="G1625" s="3"/>
      <c r="N1625" s="3"/>
      <c r="Q1625" s="3"/>
      <c r="R1625" s="3"/>
      <c r="S1625" s="3"/>
      <c r="V1625" s="3"/>
      <c r="W1625" s="3"/>
      <c r="X1625" s="3"/>
      <c r="Y1625" s="3"/>
      <c r="Z1625" s="3"/>
      <c r="AA1625" s="3"/>
      <c r="AB1625" s="3"/>
    </row>
    <row r="1626" spans="1:28" x14ac:dyDescent="0.3">
      <c r="A1626" s="2"/>
      <c r="F1626" s="3"/>
      <c r="G1626" s="3"/>
      <c r="N1626" s="3"/>
      <c r="Q1626" s="3"/>
      <c r="R1626" s="3"/>
      <c r="S1626" s="3"/>
      <c r="V1626" s="3"/>
      <c r="W1626" s="3"/>
      <c r="X1626" s="3"/>
      <c r="Y1626" s="3"/>
      <c r="Z1626" s="3"/>
      <c r="AA1626" s="3"/>
      <c r="AB1626" s="3"/>
    </row>
    <row r="1627" spans="1:28" x14ac:dyDescent="0.3">
      <c r="A1627" s="2"/>
      <c r="F1627" s="3"/>
      <c r="G1627" s="3"/>
      <c r="N1627" s="3"/>
      <c r="Q1627" s="3"/>
      <c r="R1627" s="3"/>
      <c r="S1627" s="3"/>
      <c r="V1627" s="3"/>
      <c r="W1627" s="3"/>
      <c r="X1627" s="3"/>
      <c r="Y1627" s="3"/>
      <c r="Z1627" s="3"/>
      <c r="AA1627" s="3"/>
      <c r="AB1627" s="3"/>
    </row>
    <row r="1628" spans="1:28" x14ac:dyDescent="0.3">
      <c r="A1628" s="2"/>
      <c r="F1628" s="3"/>
      <c r="G1628" s="3"/>
      <c r="N1628" s="3"/>
      <c r="Q1628" s="3"/>
      <c r="R1628" s="3"/>
      <c r="S1628" s="3"/>
      <c r="V1628" s="3"/>
      <c r="W1628" s="3"/>
      <c r="X1628" s="3"/>
      <c r="Y1628" s="3"/>
      <c r="Z1628" s="3"/>
      <c r="AA1628" s="3"/>
      <c r="AB1628" s="3"/>
    </row>
    <row r="1629" spans="1:28" x14ac:dyDescent="0.3">
      <c r="A1629" s="2"/>
      <c r="F1629" s="3"/>
      <c r="G1629" s="3"/>
      <c r="N1629" s="3"/>
      <c r="Q1629" s="3"/>
      <c r="R1629" s="3"/>
      <c r="S1629" s="3"/>
      <c r="V1629" s="3"/>
      <c r="W1629" s="3"/>
      <c r="X1629" s="3"/>
      <c r="Y1629" s="3"/>
      <c r="Z1629" s="3"/>
      <c r="AA1629" s="3"/>
      <c r="AB1629" s="3"/>
    </row>
    <row r="1630" spans="1:28" x14ac:dyDescent="0.3">
      <c r="A1630" s="2"/>
      <c r="F1630" s="3"/>
      <c r="G1630" s="3"/>
      <c r="N1630" s="3"/>
      <c r="Q1630" s="3"/>
      <c r="R1630" s="3"/>
      <c r="S1630" s="3"/>
      <c r="V1630" s="3"/>
      <c r="W1630" s="3"/>
      <c r="X1630" s="3"/>
      <c r="Y1630" s="3"/>
      <c r="Z1630" s="3"/>
      <c r="AA1630" s="3"/>
      <c r="AB1630" s="3"/>
    </row>
    <row r="1631" spans="1:28" x14ac:dyDescent="0.3">
      <c r="A1631" s="2"/>
      <c r="F1631" s="3"/>
      <c r="G1631" s="3"/>
      <c r="N1631" s="3"/>
      <c r="Q1631" s="3"/>
      <c r="R1631" s="3"/>
      <c r="S1631" s="3"/>
      <c r="V1631" s="3"/>
      <c r="W1631" s="3"/>
      <c r="X1631" s="3"/>
      <c r="Y1631" s="3"/>
      <c r="Z1631" s="3"/>
      <c r="AA1631" s="3"/>
      <c r="AB1631" s="3"/>
    </row>
    <row r="1632" spans="1:28" x14ac:dyDescent="0.3">
      <c r="A1632" s="2"/>
      <c r="F1632" s="3"/>
      <c r="G1632" s="3"/>
      <c r="N1632" s="3"/>
      <c r="Q1632" s="3"/>
      <c r="R1632" s="3"/>
      <c r="S1632" s="3"/>
      <c r="V1632" s="3"/>
      <c r="W1632" s="3"/>
      <c r="X1632" s="3"/>
      <c r="Y1632" s="3"/>
      <c r="Z1632" s="3"/>
      <c r="AA1632" s="3"/>
      <c r="AB1632" s="3"/>
    </row>
    <row r="1633" spans="1:28" x14ac:dyDescent="0.3">
      <c r="A1633" s="2"/>
      <c r="F1633" s="3"/>
      <c r="G1633" s="3"/>
      <c r="N1633" s="3"/>
      <c r="Q1633" s="3"/>
      <c r="R1633" s="3"/>
      <c r="S1633" s="3"/>
      <c r="V1633" s="3"/>
      <c r="W1633" s="3"/>
      <c r="X1633" s="3"/>
      <c r="Y1633" s="3"/>
      <c r="Z1633" s="3"/>
      <c r="AA1633" s="3"/>
      <c r="AB1633" s="3"/>
    </row>
    <row r="1634" spans="1:28" x14ac:dyDescent="0.3">
      <c r="A1634" s="2"/>
      <c r="F1634" s="3"/>
      <c r="G1634" s="3"/>
      <c r="N1634" s="3"/>
      <c r="Q1634" s="3"/>
      <c r="R1634" s="3"/>
      <c r="S1634" s="3"/>
      <c r="V1634" s="3"/>
      <c r="W1634" s="3"/>
      <c r="X1634" s="3"/>
      <c r="Y1634" s="3"/>
      <c r="Z1634" s="3"/>
      <c r="AA1634" s="3"/>
      <c r="AB1634" s="3"/>
    </row>
    <row r="1635" spans="1:28" x14ac:dyDescent="0.3">
      <c r="A1635" s="2"/>
      <c r="F1635" s="3"/>
      <c r="G1635" s="3"/>
      <c r="N1635" s="3"/>
      <c r="Q1635" s="3"/>
      <c r="R1635" s="3"/>
      <c r="S1635" s="3"/>
      <c r="V1635" s="3"/>
      <c r="W1635" s="3"/>
      <c r="X1635" s="3"/>
      <c r="Y1635" s="3"/>
      <c r="Z1635" s="3"/>
      <c r="AA1635" s="3"/>
      <c r="AB1635" s="3"/>
    </row>
    <row r="1636" spans="1:28" x14ac:dyDescent="0.3">
      <c r="A1636" s="2"/>
      <c r="F1636" s="3"/>
      <c r="G1636" s="3"/>
      <c r="N1636" s="3"/>
      <c r="Q1636" s="3"/>
      <c r="R1636" s="3"/>
      <c r="S1636" s="3"/>
      <c r="V1636" s="3"/>
      <c r="W1636" s="3"/>
      <c r="X1636" s="3"/>
      <c r="Y1636" s="3"/>
      <c r="Z1636" s="3"/>
      <c r="AA1636" s="3"/>
      <c r="AB1636" s="3"/>
    </row>
    <row r="1637" spans="1:28" x14ac:dyDescent="0.3">
      <c r="A1637" s="2"/>
      <c r="F1637" s="3"/>
      <c r="G1637" s="3"/>
      <c r="N1637" s="3"/>
      <c r="Q1637" s="3"/>
      <c r="R1637" s="3"/>
      <c r="S1637" s="3"/>
      <c r="V1637" s="3"/>
      <c r="W1637" s="3"/>
      <c r="X1637" s="3"/>
      <c r="Y1637" s="3"/>
      <c r="Z1637" s="3"/>
      <c r="AA1637" s="3"/>
      <c r="AB1637" s="3"/>
    </row>
    <row r="1638" spans="1:28" x14ac:dyDescent="0.3">
      <c r="A1638" s="2"/>
      <c r="F1638" s="3"/>
      <c r="G1638" s="3"/>
      <c r="N1638" s="3"/>
      <c r="Q1638" s="3"/>
      <c r="R1638" s="3"/>
      <c r="S1638" s="3"/>
      <c r="V1638" s="3"/>
      <c r="W1638" s="3"/>
      <c r="X1638" s="3"/>
      <c r="Y1638" s="3"/>
      <c r="Z1638" s="3"/>
      <c r="AA1638" s="3"/>
      <c r="AB1638" s="3"/>
    </row>
    <row r="1639" spans="1:28" x14ac:dyDescent="0.3">
      <c r="A1639" s="2"/>
      <c r="F1639" s="3"/>
      <c r="G1639" s="3"/>
      <c r="N1639" s="3"/>
      <c r="Q1639" s="3"/>
      <c r="R1639" s="3"/>
      <c r="S1639" s="3"/>
      <c r="V1639" s="3"/>
      <c r="W1639" s="3"/>
      <c r="X1639" s="3"/>
      <c r="Y1639" s="3"/>
      <c r="Z1639" s="3"/>
      <c r="AA1639" s="3"/>
      <c r="AB1639" s="3"/>
    </row>
    <row r="1640" spans="1:28" x14ac:dyDescent="0.3">
      <c r="A1640" s="2"/>
      <c r="F1640" s="3"/>
      <c r="G1640" s="3"/>
      <c r="N1640" s="3"/>
      <c r="Q1640" s="3"/>
      <c r="R1640" s="3"/>
      <c r="S1640" s="3"/>
      <c r="V1640" s="3"/>
      <c r="W1640" s="3"/>
      <c r="X1640" s="3"/>
      <c r="Y1640" s="3"/>
      <c r="Z1640" s="3"/>
      <c r="AA1640" s="3"/>
      <c r="AB1640" s="3"/>
    </row>
    <row r="1641" spans="1:28" x14ac:dyDescent="0.3">
      <c r="A1641" s="2"/>
      <c r="F1641" s="3"/>
      <c r="G1641" s="3"/>
      <c r="N1641" s="3"/>
      <c r="Q1641" s="3"/>
      <c r="R1641" s="3"/>
      <c r="S1641" s="3"/>
      <c r="V1641" s="3"/>
      <c r="W1641" s="3"/>
      <c r="X1641" s="3"/>
      <c r="Y1641" s="3"/>
      <c r="Z1641" s="3"/>
      <c r="AA1641" s="3"/>
      <c r="AB1641" s="3"/>
    </row>
    <row r="1642" spans="1:28" x14ac:dyDescent="0.3">
      <c r="A1642" s="2"/>
      <c r="F1642" s="3"/>
      <c r="G1642" s="3"/>
      <c r="N1642" s="3"/>
      <c r="Q1642" s="3"/>
      <c r="R1642" s="3"/>
      <c r="S1642" s="3"/>
      <c r="V1642" s="3"/>
      <c r="W1642" s="3"/>
      <c r="X1642" s="3"/>
      <c r="Y1642" s="3"/>
      <c r="Z1642" s="3"/>
      <c r="AA1642" s="3"/>
      <c r="AB1642" s="3"/>
    </row>
    <row r="1643" spans="1:28" x14ac:dyDescent="0.3">
      <c r="A1643" s="2"/>
      <c r="F1643" s="3"/>
      <c r="G1643" s="3"/>
      <c r="N1643" s="3"/>
      <c r="Q1643" s="3"/>
      <c r="R1643" s="3"/>
      <c r="S1643" s="3"/>
      <c r="V1643" s="3"/>
      <c r="W1643" s="3"/>
      <c r="X1643" s="3"/>
      <c r="Y1643" s="3"/>
      <c r="Z1643" s="3"/>
      <c r="AA1643" s="3"/>
      <c r="AB1643" s="3"/>
    </row>
    <row r="1644" spans="1:28" x14ac:dyDescent="0.3">
      <c r="A1644" s="2"/>
      <c r="F1644" s="3"/>
      <c r="G1644" s="3"/>
      <c r="N1644" s="3"/>
      <c r="Q1644" s="3"/>
      <c r="R1644" s="3"/>
      <c r="S1644" s="3"/>
      <c r="V1644" s="3"/>
      <c r="W1644" s="3"/>
      <c r="X1644" s="3"/>
      <c r="Y1644" s="3"/>
      <c r="Z1644" s="3"/>
      <c r="AA1644" s="3"/>
      <c r="AB1644" s="3"/>
    </row>
    <row r="1645" spans="1:28" x14ac:dyDescent="0.3">
      <c r="A1645" s="2"/>
      <c r="F1645" s="3"/>
      <c r="G1645" s="3"/>
      <c r="N1645" s="3"/>
      <c r="Q1645" s="3"/>
      <c r="R1645" s="3"/>
      <c r="S1645" s="3"/>
      <c r="V1645" s="3"/>
      <c r="W1645" s="3"/>
      <c r="X1645" s="3"/>
      <c r="Y1645" s="3"/>
      <c r="Z1645" s="3"/>
      <c r="AA1645" s="3"/>
      <c r="AB1645" s="3"/>
    </row>
    <row r="1646" spans="1:28" x14ac:dyDescent="0.3">
      <c r="A1646" s="2"/>
      <c r="F1646" s="3"/>
      <c r="G1646" s="3"/>
      <c r="N1646" s="3"/>
      <c r="Q1646" s="3"/>
      <c r="R1646" s="3"/>
      <c r="S1646" s="3"/>
      <c r="V1646" s="3"/>
      <c r="W1646" s="3"/>
      <c r="X1646" s="3"/>
      <c r="Y1646" s="3"/>
      <c r="Z1646" s="3"/>
      <c r="AA1646" s="3"/>
      <c r="AB1646" s="3"/>
    </row>
    <row r="1647" spans="1:28" x14ac:dyDescent="0.3">
      <c r="A1647" s="2"/>
      <c r="F1647" s="3"/>
      <c r="G1647" s="3"/>
      <c r="N1647" s="3"/>
      <c r="Q1647" s="3"/>
      <c r="R1647" s="3"/>
      <c r="S1647" s="3"/>
      <c r="V1647" s="3"/>
      <c r="W1647" s="3"/>
      <c r="X1647" s="3"/>
      <c r="Y1647" s="3"/>
      <c r="Z1647" s="3"/>
      <c r="AA1647" s="3"/>
      <c r="AB1647" s="3"/>
    </row>
    <row r="1648" spans="1:28" x14ac:dyDescent="0.3">
      <c r="A1648" s="2"/>
      <c r="F1648" s="3"/>
      <c r="G1648" s="3"/>
      <c r="N1648" s="3"/>
      <c r="Q1648" s="3"/>
      <c r="R1648" s="3"/>
      <c r="S1648" s="3"/>
      <c r="V1648" s="3"/>
      <c r="W1648" s="3"/>
      <c r="X1648" s="3"/>
      <c r="Y1648" s="3"/>
      <c r="Z1648" s="3"/>
      <c r="AA1648" s="3"/>
      <c r="AB1648" s="3"/>
    </row>
    <row r="1649" spans="1:28" x14ac:dyDescent="0.3">
      <c r="A1649" s="2"/>
      <c r="F1649" s="3"/>
      <c r="G1649" s="3"/>
      <c r="N1649" s="3"/>
      <c r="Q1649" s="3"/>
      <c r="R1649" s="3"/>
      <c r="S1649" s="3"/>
      <c r="V1649" s="3"/>
      <c r="W1649" s="3"/>
      <c r="X1649" s="3"/>
      <c r="Y1649" s="3"/>
      <c r="Z1649" s="3"/>
      <c r="AA1649" s="3"/>
      <c r="AB1649" s="3"/>
    </row>
    <row r="1650" spans="1:28" x14ac:dyDescent="0.3">
      <c r="A1650" s="2"/>
      <c r="F1650" s="3"/>
      <c r="G1650" s="3"/>
      <c r="N1650" s="3"/>
      <c r="Q1650" s="3"/>
      <c r="R1650" s="3"/>
      <c r="S1650" s="3"/>
      <c r="V1650" s="3"/>
      <c r="W1650" s="3"/>
      <c r="X1650" s="3"/>
      <c r="Y1650" s="3"/>
      <c r="Z1650" s="3"/>
      <c r="AA1650" s="3"/>
      <c r="AB1650" s="3"/>
    </row>
    <row r="1651" spans="1:28" x14ac:dyDescent="0.3">
      <c r="A1651" s="2"/>
      <c r="F1651" s="3"/>
      <c r="G1651" s="3"/>
      <c r="N1651" s="3"/>
      <c r="Q1651" s="3"/>
      <c r="R1651" s="3"/>
      <c r="S1651" s="3"/>
      <c r="V1651" s="3"/>
      <c r="W1651" s="3"/>
      <c r="X1651" s="3"/>
      <c r="Y1651" s="3"/>
      <c r="Z1651" s="3"/>
      <c r="AA1651" s="3"/>
      <c r="AB1651" s="3"/>
    </row>
    <row r="1652" spans="1:28" x14ac:dyDescent="0.3">
      <c r="A1652" s="2"/>
      <c r="F1652" s="3"/>
      <c r="G1652" s="3"/>
      <c r="N1652" s="3"/>
      <c r="Q1652" s="3"/>
      <c r="R1652" s="3"/>
      <c r="S1652" s="3"/>
      <c r="V1652" s="3"/>
      <c r="W1652" s="3"/>
      <c r="X1652" s="3"/>
      <c r="Y1652" s="3"/>
      <c r="Z1652" s="3"/>
      <c r="AA1652" s="3"/>
      <c r="AB1652" s="3"/>
    </row>
    <row r="1653" spans="1:28" x14ac:dyDescent="0.3">
      <c r="A1653" s="2"/>
      <c r="F1653" s="3"/>
      <c r="G1653" s="3"/>
      <c r="N1653" s="3"/>
      <c r="Q1653" s="3"/>
      <c r="R1653" s="3"/>
      <c r="S1653" s="3"/>
      <c r="V1653" s="3"/>
      <c r="W1653" s="3"/>
      <c r="X1653" s="3"/>
      <c r="Y1653" s="3"/>
      <c r="Z1653" s="3"/>
      <c r="AA1653" s="3"/>
      <c r="AB1653" s="3"/>
    </row>
    <row r="1654" spans="1:28" x14ac:dyDescent="0.3">
      <c r="A1654" s="2"/>
      <c r="F1654" s="3"/>
      <c r="G1654" s="3"/>
      <c r="N1654" s="3"/>
      <c r="Q1654" s="3"/>
      <c r="R1654" s="3"/>
      <c r="S1654" s="3"/>
      <c r="V1654" s="3"/>
      <c r="W1654" s="3"/>
      <c r="X1654" s="3"/>
      <c r="Y1654" s="3"/>
      <c r="Z1654" s="3"/>
      <c r="AA1654" s="3"/>
      <c r="AB1654" s="3"/>
    </row>
    <row r="1655" spans="1:28" x14ac:dyDescent="0.3">
      <c r="A1655" s="2"/>
      <c r="F1655" s="3"/>
      <c r="G1655" s="3"/>
      <c r="N1655" s="3"/>
      <c r="Q1655" s="3"/>
      <c r="R1655" s="3"/>
      <c r="S1655" s="3"/>
      <c r="V1655" s="3"/>
      <c r="W1655" s="3"/>
      <c r="X1655" s="3"/>
      <c r="Y1655" s="3"/>
      <c r="Z1655" s="3"/>
      <c r="AA1655" s="3"/>
      <c r="AB1655" s="3"/>
    </row>
    <row r="1656" spans="1:28" x14ac:dyDescent="0.3">
      <c r="A1656" s="2"/>
      <c r="F1656" s="3"/>
      <c r="G1656" s="3"/>
      <c r="N1656" s="3"/>
      <c r="Q1656" s="3"/>
      <c r="R1656" s="3"/>
      <c r="S1656" s="3"/>
      <c r="V1656" s="3"/>
      <c r="W1656" s="3"/>
      <c r="X1656" s="3"/>
      <c r="Y1656" s="3"/>
      <c r="Z1656" s="3"/>
      <c r="AA1656" s="3"/>
      <c r="AB1656" s="3"/>
    </row>
    <row r="1657" spans="1:28" x14ac:dyDescent="0.3">
      <c r="A1657" s="2"/>
      <c r="F1657" s="3"/>
      <c r="G1657" s="3"/>
      <c r="N1657" s="3"/>
      <c r="Q1657" s="3"/>
      <c r="R1657" s="3"/>
      <c r="S1657" s="3"/>
      <c r="V1657" s="3"/>
      <c r="W1657" s="3"/>
      <c r="X1657" s="3"/>
      <c r="Y1657" s="3"/>
      <c r="Z1657" s="3"/>
      <c r="AA1657" s="3"/>
      <c r="AB1657" s="3"/>
    </row>
    <row r="1658" spans="1:28" x14ac:dyDescent="0.3">
      <c r="A1658" s="2"/>
      <c r="F1658" s="3"/>
      <c r="G1658" s="3"/>
      <c r="N1658" s="3"/>
      <c r="Q1658" s="3"/>
      <c r="R1658" s="3"/>
      <c r="S1658" s="3"/>
      <c r="V1658" s="3"/>
      <c r="W1658" s="3"/>
      <c r="X1658" s="3"/>
      <c r="Y1658" s="3"/>
      <c r="Z1658" s="3"/>
      <c r="AA1658" s="3"/>
      <c r="AB1658" s="3"/>
    </row>
    <row r="1659" spans="1:28" x14ac:dyDescent="0.3">
      <c r="A1659" s="2"/>
      <c r="F1659" s="3"/>
      <c r="G1659" s="3"/>
      <c r="N1659" s="3"/>
      <c r="Q1659" s="3"/>
      <c r="R1659" s="3"/>
      <c r="S1659" s="3"/>
      <c r="V1659" s="3"/>
      <c r="W1659" s="3"/>
      <c r="X1659" s="3"/>
      <c r="Y1659" s="3"/>
      <c r="Z1659" s="3"/>
      <c r="AA1659" s="3"/>
      <c r="AB1659" s="3"/>
    </row>
    <row r="1660" spans="1:28" x14ac:dyDescent="0.3">
      <c r="A1660" s="2"/>
      <c r="F1660" s="3"/>
      <c r="G1660" s="3"/>
      <c r="N1660" s="3"/>
      <c r="Q1660" s="3"/>
      <c r="R1660" s="3"/>
      <c r="S1660" s="3"/>
      <c r="V1660" s="3"/>
      <c r="W1660" s="3"/>
      <c r="X1660" s="3"/>
      <c r="Y1660" s="3"/>
      <c r="Z1660" s="3"/>
      <c r="AA1660" s="3"/>
      <c r="AB1660" s="3"/>
    </row>
    <row r="1661" spans="1:28" x14ac:dyDescent="0.3">
      <c r="A1661" s="2"/>
      <c r="F1661" s="3"/>
      <c r="G1661" s="3"/>
      <c r="N1661" s="3"/>
      <c r="Q1661" s="3"/>
      <c r="R1661" s="3"/>
      <c r="S1661" s="3"/>
      <c r="V1661" s="3"/>
      <c r="W1661" s="3"/>
      <c r="X1661" s="3"/>
      <c r="Y1661" s="3"/>
      <c r="Z1661" s="3"/>
      <c r="AA1661" s="3"/>
      <c r="AB1661" s="3"/>
    </row>
    <row r="1662" spans="1:28" x14ac:dyDescent="0.3">
      <c r="A1662" s="2"/>
      <c r="F1662" s="3"/>
      <c r="G1662" s="3"/>
      <c r="N1662" s="3"/>
      <c r="Q1662" s="3"/>
      <c r="R1662" s="3"/>
      <c r="S1662" s="3"/>
      <c r="V1662" s="3"/>
      <c r="W1662" s="3"/>
      <c r="X1662" s="3"/>
      <c r="Y1662" s="3"/>
      <c r="Z1662" s="3"/>
      <c r="AA1662" s="3"/>
      <c r="AB1662" s="3"/>
    </row>
    <row r="1663" spans="1:28" x14ac:dyDescent="0.3">
      <c r="A1663" s="2"/>
      <c r="F1663" s="3"/>
      <c r="G1663" s="3"/>
      <c r="N1663" s="3"/>
      <c r="Q1663" s="3"/>
      <c r="R1663" s="3"/>
      <c r="S1663" s="3"/>
      <c r="V1663" s="3"/>
      <c r="W1663" s="3"/>
      <c r="X1663" s="3"/>
      <c r="Y1663" s="3"/>
      <c r="Z1663" s="3"/>
      <c r="AA1663" s="3"/>
      <c r="AB1663" s="3"/>
    </row>
    <row r="1664" spans="1:28" x14ac:dyDescent="0.3">
      <c r="A1664" s="2"/>
      <c r="F1664" s="3"/>
      <c r="G1664" s="3"/>
      <c r="N1664" s="3"/>
      <c r="Q1664" s="3"/>
      <c r="R1664" s="3"/>
      <c r="S1664" s="3"/>
      <c r="V1664" s="3"/>
      <c r="W1664" s="3"/>
      <c r="X1664" s="3"/>
      <c r="Y1664" s="3"/>
      <c r="Z1664" s="3"/>
      <c r="AA1664" s="3"/>
      <c r="AB1664" s="3"/>
    </row>
    <row r="1665" spans="1:28" x14ac:dyDescent="0.3">
      <c r="A1665" s="2"/>
      <c r="F1665" s="3"/>
      <c r="G1665" s="3"/>
      <c r="N1665" s="3"/>
      <c r="Q1665" s="3"/>
      <c r="R1665" s="3"/>
      <c r="S1665" s="3"/>
      <c r="V1665" s="3"/>
      <c r="W1665" s="3"/>
      <c r="X1665" s="3"/>
      <c r="Y1665" s="3"/>
      <c r="Z1665" s="3"/>
      <c r="AA1665" s="3"/>
      <c r="AB1665" s="3"/>
    </row>
    <row r="1666" spans="1:28" x14ac:dyDescent="0.3">
      <c r="A1666" s="2"/>
      <c r="F1666" s="3"/>
      <c r="G1666" s="3"/>
      <c r="N1666" s="3"/>
      <c r="Q1666" s="3"/>
      <c r="R1666" s="3"/>
      <c r="S1666" s="3"/>
      <c r="V1666" s="3"/>
      <c r="W1666" s="3"/>
      <c r="X1666" s="3"/>
      <c r="Y1666" s="3"/>
      <c r="Z1666" s="3"/>
      <c r="AA1666" s="3"/>
      <c r="AB1666" s="3"/>
    </row>
    <row r="1667" spans="1:28" x14ac:dyDescent="0.3">
      <c r="A1667" s="2"/>
      <c r="F1667" s="3"/>
      <c r="G1667" s="3"/>
      <c r="N1667" s="3"/>
      <c r="Q1667" s="3"/>
      <c r="R1667" s="3"/>
      <c r="S1667" s="3"/>
      <c r="V1667" s="3"/>
      <c r="W1667" s="3"/>
      <c r="X1667" s="3"/>
      <c r="Y1667" s="3"/>
      <c r="Z1667" s="3"/>
      <c r="AA1667" s="3"/>
      <c r="AB1667" s="3"/>
    </row>
    <row r="1668" spans="1:28" x14ac:dyDescent="0.3">
      <c r="A1668" s="2"/>
      <c r="F1668" s="3"/>
      <c r="G1668" s="3"/>
      <c r="N1668" s="3"/>
      <c r="Q1668" s="3"/>
      <c r="R1668" s="3"/>
      <c r="S1668" s="3"/>
      <c r="V1668" s="3"/>
      <c r="W1668" s="3"/>
      <c r="X1668" s="3"/>
      <c r="Y1668" s="3"/>
      <c r="Z1668" s="3"/>
      <c r="AA1668" s="3"/>
      <c r="AB1668" s="3"/>
    </row>
    <row r="1669" spans="1:28" x14ac:dyDescent="0.3">
      <c r="A1669" s="2"/>
      <c r="F1669" s="3"/>
      <c r="G1669" s="3"/>
      <c r="N1669" s="3"/>
      <c r="Q1669" s="3"/>
      <c r="R1669" s="3"/>
      <c r="S1669" s="3"/>
      <c r="V1669" s="3"/>
      <c r="W1669" s="3"/>
      <c r="X1669" s="3"/>
      <c r="Y1669" s="3"/>
      <c r="Z1669" s="3"/>
      <c r="AA1669" s="3"/>
      <c r="AB1669" s="3"/>
    </row>
    <row r="1670" spans="1:28" x14ac:dyDescent="0.3">
      <c r="A1670" s="2"/>
      <c r="F1670" s="3"/>
      <c r="G1670" s="3"/>
      <c r="N1670" s="3"/>
      <c r="Q1670" s="3"/>
      <c r="R1670" s="3"/>
      <c r="S1670" s="3"/>
      <c r="V1670" s="3"/>
      <c r="W1670" s="3"/>
      <c r="X1670" s="3"/>
      <c r="Y1670" s="3"/>
      <c r="Z1670" s="3"/>
      <c r="AA1670" s="3"/>
      <c r="AB1670" s="3"/>
    </row>
    <row r="1671" spans="1:28" x14ac:dyDescent="0.3">
      <c r="A1671" s="2"/>
      <c r="F1671" s="3"/>
      <c r="G1671" s="3"/>
      <c r="N1671" s="3"/>
      <c r="Q1671" s="3"/>
      <c r="R1671" s="3"/>
      <c r="S1671" s="3"/>
      <c r="V1671" s="3"/>
      <c r="W1671" s="3"/>
      <c r="X1671" s="3"/>
      <c r="Y1671" s="3"/>
      <c r="Z1671" s="3"/>
      <c r="AA1671" s="3"/>
      <c r="AB1671" s="3"/>
    </row>
    <row r="1672" spans="1:28" x14ac:dyDescent="0.3">
      <c r="A1672" s="2"/>
      <c r="F1672" s="3"/>
      <c r="G1672" s="3"/>
      <c r="N1672" s="3"/>
      <c r="Q1672" s="3"/>
      <c r="R1672" s="3"/>
      <c r="S1672" s="3"/>
      <c r="V1672" s="3"/>
      <c r="W1672" s="3"/>
      <c r="X1672" s="3"/>
      <c r="Y1672" s="3"/>
      <c r="Z1672" s="3"/>
      <c r="AA1672" s="3"/>
      <c r="AB1672" s="3"/>
    </row>
    <row r="1673" spans="1:28" x14ac:dyDescent="0.3">
      <c r="A1673" s="2"/>
      <c r="F1673" s="3"/>
      <c r="G1673" s="3"/>
      <c r="N1673" s="3"/>
      <c r="Q1673" s="3"/>
      <c r="R1673" s="3"/>
      <c r="S1673" s="3"/>
      <c r="V1673" s="3"/>
      <c r="W1673" s="3"/>
      <c r="X1673" s="3"/>
      <c r="Y1673" s="3"/>
      <c r="Z1673" s="3"/>
      <c r="AA1673" s="3"/>
      <c r="AB1673" s="3"/>
    </row>
    <row r="1674" spans="1:28" x14ac:dyDescent="0.3">
      <c r="A1674" s="2"/>
      <c r="F1674" s="3"/>
      <c r="G1674" s="3"/>
      <c r="N1674" s="3"/>
      <c r="Q1674" s="3"/>
      <c r="R1674" s="3"/>
      <c r="S1674" s="3"/>
      <c r="V1674" s="3"/>
      <c r="W1674" s="3"/>
      <c r="X1674" s="3"/>
      <c r="Y1674" s="3"/>
      <c r="Z1674" s="3"/>
      <c r="AA1674" s="3"/>
      <c r="AB1674" s="3"/>
    </row>
    <row r="1675" spans="1:28" x14ac:dyDescent="0.3">
      <c r="A1675" s="2"/>
      <c r="F1675" s="3"/>
      <c r="G1675" s="3"/>
      <c r="N1675" s="3"/>
      <c r="Q1675" s="3"/>
      <c r="R1675" s="3"/>
      <c r="S1675" s="3"/>
      <c r="V1675" s="3"/>
      <c r="W1675" s="3"/>
      <c r="X1675" s="3"/>
      <c r="Y1675" s="3"/>
      <c r="Z1675" s="3"/>
      <c r="AA1675" s="3"/>
      <c r="AB1675" s="3"/>
    </row>
    <row r="1676" spans="1:28" x14ac:dyDescent="0.3">
      <c r="A1676" s="2"/>
      <c r="F1676" s="3"/>
      <c r="G1676" s="3"/>
      <c r="N1676" s="3"/>
      <c r="Q1676" s="3"/>
      <c r="R1676" s="3"/>
      <c r="S1676" s="3"/>
      <c r="V1676" s="3"/>
      <c r="W1676" s="3"/>
      <c r="X1676" s="3"/>
      <c r="Y1676" s="3"/>
      <c r="Z1676" s="3"/>
      <c r="AA1676" s="3"/>
      <c r="AB1676" s="3"/>
    </row>
    <row r="1677" spans="1:28" x14ac:dyDescent="0.3">
      <c r="A1677" s="2"/>
      <c r="F1677" s="3"/>
      <c r="G1677" s="3"/>
      <c r="N1677" s="3"/>
      <c r="Q1677" s="3"/>
      <c r="R1677" s="3"/>
      <c r="S1677" s="3"/>
      <c r="V1677" s="3"/>
      <c r="W1677" s="3"/>
      <c r="X1677" s="3"/>
      <c r="Y1677" s="3"/>
      <c r="Z1677" s="3"/>
      <c r="AA1677" s="3"/>
      <c r="AB1677" s="3"/>
    </row>
    <row r="1678" spans="1:28" x14ac:dyDescent="0.3">
      <c r="A1678" s="2"/>
      <c r="F1678" s="3"/>
      <c r="G1678" s="3"/>
      <c r="N1678" s="3"/>
      <c r="Q1678" s="3"/>
      <c r="R1678" s="3"/>
      <c r="S1678" s="3"/>
      <c r="V1678" s="3"/>
      <c r="W1678" s="3"/>
      <c r="X1678" s="3"/>
      <c r="Y1678" s="3"/>
      <c r="Z1678" s="3"/>
      <c r="AA1678" s="3"/>
      <c r="AB1678" s="3"/>
    </row>
    <row r="1679" spans="1:28" x14ac:dyDescent="0.3">
      <c r="A1679" s="2"/>
      <c r="F1679" s="3"/>
      <c r="G1679" s="3"/>
      <c r="N1679" s="3"/>
      <c r="Q1679" s="3"/>
      <c r="R1679" s="3"/>
      <c r="S1679" s="3"/>
      <c r="V1679" s="3"/>
      <c r="W1679" s="3"/>
      <c r="X1679" s="3"/>
      <c r="Y1679" s="3"/>
      <c r="Z1679" s="3"/>
      <c r="AA1679" s="3"/>
      <c r="AB1679" s="3"/>
    </row>
    <row r="1680" spans="1:28" x14ac:dyDescent="0.3">
      <c r="A1680" s="2"/>
      <c r="F1680" s="3"/>
      <c r="G1680" s="3"/>
      <c r="N1680" s="3"/>
      <c r="Q1680" s="3"/>
      <c r="R1680" s="3"/>
      <c r="S1680" s="3"/>
      <c r="V1680" s="3"/>
      <c r="W1680" s="3"/>
      <c r="X1680" s="3"/>
      <c r="Y1680" s="3"/>
      <c r="Z1680" s="3"/>
      <c r="AA1680" s="3"/>
      <c r="AB1680" s="3"/>
    </row>
    <row r="1681" spans="1:28" x14ac:dyDescent="0.3">
      <c r="A1681" s="2"/>
      <c r="F1681" s="3"/>
      <c r="G1681" s="3"/>
      <c r="N1681" s="3"/>
      <c r="Q1681" s="3"/>
      <c r="R1681" s="3"/>
      <c r="S1681" s="3"/>
      <c r="V1681" s="3"/>
      <c r="W1681" s="3"/>
      <c r="X1681" s="3"/>
      <c r="Y1681" s="3"/>
      <c r="Z1681" s="3"/>
      <c r="AA1681" s="3"/>
      <c r="AB1681" s="3"/>
    </row>
    <row r="1682" spans="1:28" x14ac:dyDescent="0.3">
      <c r="A1682" s="2"/>
      <c r="F1682" s="3"/>
      <c r="G1682" s="3"/>
      <c r="N1682" s="3"/>
      <c r="Q1682" s="3"/>
      <c r="R1682" s="3"/>
      <c r="S1682" s="3"/>
      <c r="V1682" s="3"/>
      <c r="W1682" s="3"/>
      <c r="X1682" s="3"/>
      <c r="Y1682" s="3"/>
      <c r="Z1682" s="3"/>
      <c r="AA1682" s="3"/>
      <c r="AB1682" s="3"/>
    </row>
    <row r="1683" spans="1:28" x14ac:dyDescent="0.3">
      <c r="A1683" s="2"/>
      <c r="F1683" s="3"/>
      <c r="G1683" s="3"/>
      <c r="N1683" s="3"/>
      <c r="Q1683" s="3"/>
      <c r="R1683" s="3"/>
      <c r="S1683" s="3"/>
      <c r="V1683" s="3"/>
      <c r="W1683" s="3"/>
      <c r="X1683" s="3"/>
      <c r="Y1683" s="3"/>
      <c r="Z1683" s="3"/>
      <c r="AA1683" s="3"/>
      <c r="AB1683" s="3"/>
    </row>
    <row r="1684" spans="1:28" x14ac:dyDescent="0.3">
      <c r="A1684" s="2"/>
      <c r="F1684" s="3"/>
      <c r="G1684" s="3"/>
      <c r="N1684" s="3"/>
      <c r="Q1684" s="3"/>
      <c r="R1684" s="3"/>
      <c r="S1684" s="3"/>
      <c r="V1684" s="3"/>
      <c r="W1684" s="3"/>
      <c r="X1684" s="3"/>
      <c r="Y1684" s="3"/>
      <c r="Z1684" s="3"/>
      <c r="AA1684" s="3"/>
      <c r="AB1684" s="3"/>
    </row>
    <row r="1685" spans="1:28" x14ac:dyDescent="0.3">
      <c r="A1685" s="2"/>
      <c r="F1685" s="3"/>
      <c r="G1685" s="3"/>
      <c r="N1685" s="3"/>
      <c r="Q1685" s="3"/>
      <c r="R1685" s="3"/>
      <c r="S1685" s="3"/>
      <c r="V1685" s="3"/>
      <c r="W1685" s="3"/>
      <c r="X1685" s="3"/>
      <c r="Y1685" s="3"/>
      <c r="Z1685" s="3"/>
      <c r="AA1685" s="3"/>
      <c r="AB1685" s="3"/>
    </row>
    <row r="1686" spans="1:28" x14ac:dyDescent="0.3">
      <c r="A1686" s="2"/>
      <c r="F1686" s="3"/>
      <c r="G1686" s="3"/>
      <c r="N1686" s="3"/>
      <c r="Q1686" s="3"/>
      <c r="R1686" s="3"/>
      <c r="S1686" s="3"/>
      <c r="V1686" s="3"/>
      <c r="W1686" s="3"/>
      <c r="X1686" s="3"/>
      <c r="Y1686" s="3"/>
      <c r="Z1686" s="3"/>
      <c r="AA1686" s="3"/>
      <c r="AB1686" s="3"/>
    </row>
    <row r="1687" spans="1:28" x14ac:dyDescent="0.3">
      <c r="A1687" s="2"/>
      <c r="F1687" s="3"/>
      <c r="G1687" s="3"/>
      <c r="N1687" s="3"/>
      <c r="Q1687" s="3"/>
      <c r="R1687" s="3"/>
      <c r="S1687" s="3"/>
      <c r="V1687" s="3"/>
      <c r="W1687" s="3"/>
      <c r="X1687" s="3"/>
      <c r="Y1687" s="3"/>
      <c r="Z1687" s="3"/>
      <c r="AA1687" s="3"/>
      <c r="AB1687" s="3"/>
    </row>
    <row r="1688" spans="1:28" x14ac:dyDescent="0.3">
      <c r="A1688" s="2"/>
      <c r="F1688" s="3"/>
      <c r="G1688" s="3"/>
      <c r="N1688" s="3"/>
      <c r="Q1688" s="3"/>
      <c r="R1688" s="3"/>
      <c r="S1688" s="3"/>
      <c r="V1688" s="3"/>
      <c r="W1688" s="3"/>
      <c r="X1688" s="3"/>
      <c r="Y1688" s="3"/>
      <c r="Z1688" s="3"/>
      <c r="AA1688" s="3"/>
      <c r="AB1688" s="3"/>
    </row>
    <row r="1689" spans="1:28" x14ac:dyDescent="0.3">
      <c r="A1689" s="2"/>
      <c r="F1689" s="3"/>
      <c r="G1689" s="3"/>
      <c r="N1689" s="3"/>
      <c r="Q1689" s="3"/>
      <c r="R1689" s="3"/>
      <c r="S1689" s="3"/>
      <c r="V1689" s="3"/>
      <c r="W1689" s="3"/>
      <c r="X1689" s="3"/>
      <c r="Y1689" s="3"/>
      <c r="Z1689" s="3"/>
      <c r="AA1689" s="3"/>
      <c r="AB1689" s="3"/>
    </row>
    <row r="1690" spans="1:28" x14ac:dyDescent="0.3">
      <c r="A1690" s="2"/>
      <c r="F1690" s="3"/>
      <c r="G1690" s="3"/>
      <c r="N1690" s="3"/>
      <c r="Q1690" s="3"/>
      <c r="R1690" s="3"/>
      <c r="S1690" s="3"/>
      <c r="V1690" s="3"/>
      <c r="W1690" s="3"/>
      <c r="X1690" s="3"/>
      <c r="Y1690" s="3"/>
      <c r="Z1690" s="3"/>
      <c r="AA1690" s="3"/>
      <c r="AB1690" s="3"/>
    </row>
    <row r="1691" spans="1:28" x14ac:dyDescent="0.3">
      <c r="A1691" s="2"/>
      <c r="F1691" s="3"/>
      <c r="G1691" s="3"/>
      <c r="N1691" s="3"/>
      <c r="Q1691" s="3"/>
      <c r="R1691" s="3"/>
      <c r="S1691" s="3"/>
      <c r="V1691" s="3"/>
      <c r="W1691" s="3"/>
      <c r="X1691" s="3"/>
      <c r="Y1691" s="3"/>
      <c r="Z1691" s="3"/>
      <c r="AA1691" s="3"/>
      <c r="AB1691" s="3"/>
    </row>
    <row r="1692" spans="1:28" x14ac:dyDescent="0.3">
      <c r="A1692" s="2"/>
      <c r="F1692" s="3"/>
      <c r="G1692" s="3"/>
      <c r="N1692" s="3"/>
      <c r="Q1692" s="3"/>
      <c r="R1692" s="3"/>
      <c r="S1692" s="3"/>
      <c r="V1692" s="3"/>
      <c r="W1692" s="3"/>
      <c r="X1692" s="3"/>
      <c r="Y1692" s="3"/>
      <c r="Z1692" s="3"/>
      <c r="AA1692" s="3"/>
      <c r="AB1692" s="3"/>
    </row>
    <row r="1693" spans="1:28" x14ac:dyDescent="0.3">
      <c r="A1693" s="2"/>
      <c r="F1693" s="3"/>
      <c r="G1693" s="3"/>
      <c r="N1693" s="3"/>
      <c r="Q1693" s="3"/>
      <c r="R1693" s="3"/>
      <c r="S1693" s="3"/>
      <c r="V1693" s="3"/>
      <c r="W1693" s="3"/>
      <c r="X1693" s="3"/>
      <c r="Y1693" s="3"/>
      <c r="Z1693" s="3"/>
      <c r="AA1693" s="3"/>
      <c r="AB1693" s="3"/>
    </row>
    <row r="1694" spans="1:28" x14ac:dyDescent="0.3">
      <c r="A1694" s="2"/>
      <c r="F1694" s="3"/>
      <c r="G1694" s="3"/>
      <c r="N1694" s="3"/>
      <c r="Q1694" s="3"/>
      <c r="R1694" s="3"/>
      <c r="S1694" s="3"/>
      <c r="V1694" s="3"/>
      <c r="W1694" s="3"/>
      <c r="X1694" s="3"/>
      <c r="Y1694" s="3"/>
      <c r="Z1694" s="3"/>
      <c r="AA1694" s="3"/>
      <c r="AB1694" s="3"/>
    </row>
    <row r="1695" spans="1:28" x14ac:dyDescent="0.3">
      <c r="A1695" s="2"/>
      <c r="F1695" s="3"/>
      <c r="G1695" s="3"/>
      <c r="N1695" s="3"/>
      <c r="Q1695" s="3"/>
      <c r="R1695" s="3"/>
      <c r="S1695" s="3"/>
      <c r="V1695" s="3"/>
      <c r="W1695" s="3"/>
      <c r="X1695" s="3"/>
      <c r="Y1695" s="3"/>
      <c r="Z1695" s="3"/>
      <c r="AA1695" s="3"/>
      <c r="AB1695" s="3"/>
    </row>
    <row r="1696" spans="1:28" x14ac:dyDescent="0.3">
      <c r="A1696" s="2"/>
      <c r="F1696" s="3"/>
      <c r="G1696" s="3"/>
      <c r="N1696" s="3"/>
      <c r="Q1696" s="3"/>
      <c r="R1696" s="3"/>
      <c r="S1696" s="3"/>
      <c r="V1696" s="3"/>
      <c r="W1696" s="3"/>
      <c r="X1696" s="3"/>
      <c r="Y1696" s="3"/>
      <c r="Z1696" s="3"/>
      <c r="AA1696" s="3"/>
      <c r="AB1696" s="3"/>
    </row>
    <row r="1697" spans="1:28" x14ac:dyDescent="0.3">
      <c r="A1697" s="2"/>
      <c r="F1697" s="3"/>
      <c r="G1697" s="3"/>
      <c r="N1697" s="3"/>
      <c r="Q1697" s="3"/>
      <c r="R1697" s="3"/>
      <c r="S1697" s="3"/>
      <c r="V1697" s="3"/>
      <c r="W1697" s="3"/>
      <c r="X1697" s="3"/>
      <c r="Y1697" s="3"/>
      <c r="Z1697" s="3"/>
      <c r="AA1697" s="3"/>
      <c r="AB1697" s="3"/>
    </row>
    <row r="1698" spans="1:28" x14ac:dyDescent="0.3">
      <c r="A1698" s="2"/>
      <c r="F1698" s="3"/>
      <c r="G1698" s="3"/>
      <c r="N1698" s="3"/>
      <c r="Q1698" s="3"/>
      <c r="R1698" s="3"/>
      <c r="S1698" s="3"/>
      <c r="V1698" s="3"/>
      <c r="W1698" s="3"/>
      <c r="X1698" s="3"/>
      <c r="Y1698" s="3"/>
      <c r="Z1698" s="3"/>
      <c r="AA1698" s="3"/>
      <c r="AB1698" s="3"/>
    </row>
    <row r="1699" spans="1:28" x14ac:dyDescent="0.3">
      <c r="A1699" s="2"/>
      <c r="F1699" s="3"/>
      <c r="G1699" s="3"/>
      <c r="N1699" s="3"/>
      <c r="Q1699" s="3"/>
      <c r="R1699" s="3"/>
      <c r="S1699" s="3"/>
      <c r="V1699" s="3"/>
      <c r="W1699" s="3"/>
      <c r="X1699" s="3"/>
      <c r="Y1699" s="3"/>
      <c r="Z1699" s="3"/>
      <c r="AA1699" s="3"/>
      <c r="AB1699" s="3"/>
    </row>
    <row r="1700" spans="1:28" x14ac:dyDescent="0.3">
      <c r="A1700" s="2"/>
      <c r="F1700" s="3"/>
      <c r="G1700" s="3"/>
      <c r="N1700" s="3"/>
      <c r="Q1700" s="3"/>
      <c r="R1700" s="3"/>
      <c r="S1700" s="3"/>
      <c r="V1700" s="3"/>
      <c r="W1700" s="3"/>
      <c r="X1700" s="3"/>
      <c r="Y1700" s="3"/>
      <c r="Z1700" s="3"/>
      <c r="AA1700" s="3"/>
      <c r="AB1700" s="3"/>
    </row>
    <row r="1701" spans="1:28" x14ac:dyDescent="0.3">
      <c r="A1701" s="2"/>
      <c r="F1701" s="3"/>
      <c r="G1701" s="3"/>
      <c r="N1701" s="3"/>
      <c r="Q1701" s="3"/>
      <c r="R1701" s="3"/>
      <c r="S1701" s="3"/>
      <c r="V1701" s="3"/>
      <c r="W1701" s="3"/>
      <c r="X1701" s="3"/>
      <c r="Y1701" s="3"/>
      <c r="Z1701" s="3"/>
      <c r="AA1701" s="3"/>
      <c r="AB1701" s="3"/>
    </row>
    <row r="1702" spans="1:28" x14ac:dyDescent="0.3">
      <c r="A1702" s="2"/>
      <c r="F1702" s="3"/>
      <c r="G1702" s="3"/>
      <c r="N1702" s="3"/>
      <c r="Q1702" s="3"/>
      <c r="R1702" s="3"/>
      <c r="S1702" s="3"/>
      <c r="V1702" s="3"/>
      <c r="W1702" s="3"/>
      <c r="X1702" s="3"/>
      <c r="Y1702" s="3"/>
      <c r="Z1702" s="3"/>
      <c r="AA1702" s="3"/>
      <c r="AB1702" s="3"/>
    </row>
    <row r="1703" spans="1:28" x14ac:dyDescent="0.3">
      <c r="A1703" s="2"/>
      <c r="F1703" s="3"/>
      <c r="G1703" s="3"/>
      <c r="N1703" s="3"/>
      <c r="Q1703" s="3"/>
      <c r="R1703" s="3"/>
      <c r="S1703" s="3"/>
      <c r="V1703" s="3"/>
      <c r="W1703" s="3"/>
      <c r="X1703" s="3"/>
      <c r="Y1703" s="3"/>
      <c r="Z1703" s="3"/>
      <c r="AA1703" s="3"/>
      <c r="AB1703" s="3"/>
    </row>
    <row r="1704" spans="1:28" x14ac:dyDescent="0.3">
      <c r="A1704" s="2"/>
      <c r="F1704" s="3"/>
      <c r="G1704" s="3"/>
      <c r="N1704" s="3"/>
      <c r="Q1704" s="3"/>
      <c r="R1704" s="3"/>
      <c r="S1704" s="3"/>
      <c r="V1704" s="3"/>
      <c r="W1704" s="3"/>
      <c r="X1704" s="3"/>
      <c r="Y1704" s="3"/>
      <c r="Z1704" s="3"/>
      <c r="AA1704" s="3"/>
      <c r="AB1704" s="3"/>
    </row>
    <row r="1705" spans="1:28" x14ac:dyDescent="0.3">
      <c r="A1705" s="2"/>
      <c r="F1705" s="3"/>
      <c r="G1705" s="3"/>
      <c r="N1705" s="3"/>
      <c r="Q1705" s="3"/>
      <c r="R1705" s="3"/>
      <c r="S1705" s="3"/>
      <c r="V1705" s="3"/>
      <c r="W1705" s="3"/>
      <c r="X1705" s="3"/>
      <c r="Y1705" s="3"/>
      <c r="Z1705" s="3"/>
      <c r="AA1705" s="3"/>
      <c r="AB1705" s="3"/>
    </row>
    <row r="1706" spans="1:28" x14ac:dyDescent="0.3">
      <c r="A1706" s="2"/>
      <c r="F1706" s="3"/>
      <c r="G1706" s="3"/>
      <c r="N1706" s="3"/>
      <c r="Q1706" s="3"/>
      <c r="R1706" s="3"/>
      <c r="S1706" s="3"/>
      <c r="V1706" s="3"/>
      <c r="W1706" s="3"/>
      <c r="X1706" s="3"/>
      <c r="Y1706" s="3"/>
      <c r="Z1706" s="3"/>
      <c r="AA1706" s="3"/>
      <c r="AB1706" s="3"/>
    </row>
    <row r="1707" spans="1:28" x14ac:dyDescent="0.3">
      <c r="A1707" s="2"/>
      <c r="F1707" s="3"/>
      <c r="G1707" s="3"/>
      <c r="N1707" s="3"/>
      <c r="Q1707" s="3"/>
      <c r="R1707" s="3"/>
      <c r="S1707" s="3"/>
      <c r="V1707" s="3"/>
      <c r="W1707" s="3"/>
      <c r="X1707" s="3"/>
      <c r="Y1707" s="3"/>
      <c r="Z1707" s="3"/>
      <c r="AA1707" s="3"/>
      <c r="AB1707" s="3"/>
    </row>
    <row r="1708" spans="1:28" x14ac:dyDescent="0.3">
      <c r="A1708" s="2"/>
      <c r="F1708" s="3"/>
      <c r="G1708" s="3"/>
      <c r="N1708" s="3"/>
      <c r="Q1708" s="3"/>
      <c r="R1708" s="3"/>
      <c r="S1708" s="3"/>
      <c r="V1708" s="3"/>
      <c r="W1708" s="3"/>
      <c r="X1708" s="3"/>
      <c r="Y1708" s="3"/>
      <c r="Z1708" s="3"/>
      <c r="AA1708" s="3"/>
      <c r="AB1708" s="3"/>
    </row>
    <row r="1709" spans="1:28" x14ac:dyDescent="0.3">
      <c r="A1709" s="2"/>
      <c r="F1709" s="3"/>
      <c r="G1709" s="3"/>
      <c r="N1709" s="3"/>
      <c r="Q1709" s="3"/>
      <c r="R1709" s="3"/>
      <c r="S1709" s="3"/>
      <c r="V1709" s="3"/>
      <c r="W1709" s="3"/>
      <c r="X1709" s="3"/>
      <c r="Y1709" s="3"/>
      <c r="Z1709" s="3"/>
      <c r="AA1709" s="3"/>
      <c r="AB1709" s="3"/>
    </row>
    <row r="1710" spans="1:28" x14ac:dyDescent="0.3">
      <c r="A1710" s="2"/>
      <c r="F1710" s="3"/>
      <c r="G1710" s="3"/>
      <c r="N1710" s="3"/>
      <c r="Q1710" s="3"/>
      <c r="R1710" s="3"/>
      <c r="S1710" s="3"/>
      <c r="V1710" s="3"/>
      <c r="W1710" s="3"/>
      <c r="X1710" s="3"/>
      <c r="Y1710" s="3"/>
      <c r="Z1710" s="3"/>
      <c r="AA1710" s="3"/>
      <c r="AB1710" s="3"/>
    </row>
    <row r="1711" spans="1:28" x14ac:dyDescent="0.3">
      <c r="A1711" s="2"/>
      <c r="F1711" s="3"/>
      <c r="G1711" s="3"/>
      <c r="N1711" s="3"/>
      <c r="Q1711" s="3"/>
      <c r="R1711" s="3"/>
      <c r="S1711" s="3"/>
      <c r="V1711" s="3"/>
      <c r="W1711" s="3"/>
      <c r="X1711" s="3"/>
      <c r="Y1711" s="3"/>
      <c r="Z1711" s="3"/>
      <c r="AA1711" s="3"/>
      <c r="AB1711" s="3"/>
    </row>
    <row r="1712" spans="1:28" x14ac:dyDescent="0.3">
      <c r="A1712" s="2"/>
      <c r="F1712" s="3"/>
      <c r="G1712" s="3"/>
      <c r="N1712" s="3"/>
      <c r="Q1712" s="3"/>
      <c r="R1712" s="3"/>
      <c r="S1712" s="3"/>
      <c r="V1712" s="3"/>
      <c r="W1712" s="3"/>
      <c r="X1712" s="3"/>
      <c r="Y1712" s="3"/>
      <c r="Z1712" s="3"/>
      <c r="AA1712" s="3"/>
      <c r="AB1712" s="3"/>
    </row>
    <row r="1713" spans="1:28" x14ac:dyDescent="0.3">
      <c r="A1713" s="2"/>
      <c r="F1713" s="3"/>
      <c r="G1713" s="3"/>
      <c r="N1713" s="3"/>
      <c r="Q1713" s="3"/>
      <c r="R1713" s="3"/>
      <c r="S1713" s="3"/>
      <c r="V1713" s="3"/>
      <c r="W1713" s="3"/>
      <c r="X1713" s="3"/>
      <c r="Y1713" s="3"/>
      <c r="Z1713" s="3"/>
      <c r="AA1713" s="3"/>
      <c r="AB1713" s="3"/>
    </row>
    <row r="1714" spans="1:28" x14ac:dyDescent="0.3">
      <c r="A1714" s="2"/>
      <c r="F1714" s="3"/>
      <c r="G1714" s="3"/>
      <c r="N1714" s="3"/>
      <c r="Q1714" s="3"/>
      <c r="R1714" s="3"/>
      <c r="S1714" s="3"/>
      <c r="V1714" s="3"/>
      <c r="W1714" s="3"/>
      <c r="X1714" s="3"/>
      <c r="Y1714" s="3"/>
      <c r="Z1714" s="3"/>
      <c r="AA1714" s="3"/>
      <c r="AB1714" s="3"/>
    </row>
    <row r="1715" spans="1:28" x14ac:dyDescent="0.3">
      <c r="A1715" s="2"/>
      <c r="F1715" s="3"/>
      <c r="G1715" s="3"/>
      <c r="N1715" s="3"/>
      <c r="Q1715" s="3"/>
      <c r="R1715" s="3"/>
      <c r="S1715" s="3"/>
      <c r="V1715" s="3"/>
      <c r="W1715" s="3"/>
      <c r="X1715" s="3"/>
      <c r="Y1715" s="3"/>
      <c r="Z1715" s="3"/>
      <c r="AA1715" s="3"/>
      <c r="AB1715" s="3"/>
    </row>
    <row r="1716" spans="1:28" x14ac:dyDescent="0.3">
      <c r="A1716" s="2"/>
      <c r="F1716" s="3"/>
      <c r="G1716" s="3"/>
      <c r="N1716" s="3"/>
      <c r="Q1716" s="3"/>
      <c r="R1716" s="3"/>
      <c r="S1716" s="3"/>
      <c r="V1716" s="3"/>
      <c r="W1716" s="3"/>
      <c r="X1716" s="3"/>
      <c r="Y1716" s="3"/>
      <c r="Z1716" s="3"/>
      <c r="AA1716" s="3"/>
      <c r="AB1716" s="3"/>
    </row>
    <row r="1717" spans="1:28" x14ac:dyDescent="0.3">
      <c r="A1717" s="2"/>
      <c r="F1717" s="3"/>
      <c r="G1717" s="3"/>
      <c r="N1717" s="3"/>
      <c r="Q1717" s="3"/>
      <c r="R1717" s="3"/>
      <c r="S1717" s="3"/>
      <c r="V1717" s="3"/>
      <c r="W1717" s="3"/>
      <c r="X1717" s="3"/>
      <c r="Y1717" s="3"/>
      <c r="Z1717" s="3"/>
      <c r="AA1717" s="3"/>
      <c r="AB1717" s="3"/>
    </row>
    <row r="1718" spans="1:28" x14ac:dyDescent="0.3">
      <c r="A1718" s="2"/>
      <c r="F1718" s="3"/>
      <c r="G1718" s="3"/>
      <c r="N1718" s="3"/>
      <c r="Q1718" s="3"/>
      <c r="R1718" s="3"/>
      <c r="S1718" s="3"/>
      <c r="V1718" s="3"/>
      <c r="W1718" s="3"/>
      <c r="X1718" s="3"/>
      <c r="Y1718" s="3"/>
      <c r="Z1718" s="3"/>
      <c r="AA1718" s="3"/>
      <c r="AB1718" s="3"/>
    </row>
    <row r="1719" spans="1:28" x14ac:dyDescent="0.3">
      <c r="A1719" s="2"/>
      <c r="F1719" s="3"/>
      <c r="G1719" s="3"/>
      <c r="N1719" s="3"/>
      <c r="Q1719" s="3"/>
      <c r="R1719" s="3"/>
      <c r="S1719" s="3"/>
      <c r="V1719" s="3"/>
      <c r="W1719" s="3"/>
      <c r="X1719" s="3"/>
      <c r="Y1719" s="3"/>
      <c r="Z1719" s="3"/>
      <c r="AA1719" s="3"/>
      <c r="AB1719" s="3"/>
    </row>
    <row r="1720" spans="1:28" x14ac:dyDescent="0.3">
      <c r="A1720" s="2"/>
      <c r="F1720" s="3"/>
      <c r="G1720" s="3"/>
      <c r="N1720" s="3"/>
      <c r="Q1720" s="3"/>
      <c r="R1720" s="3"/>
      <c r="S1720" s="3"/>
      <c r="V1720" s="3"/>
      <c r="W1720" s="3"/>
      <c r="X1720" s="3"/>
      <c r="Y1720" s="3"/>
      <c r="Z1720" s="3"/>
      <c r="AA1720" s="3"/>
      <c r="AB1720" s="3"/>
    </row>
    <row r="1721" spans="1:28" x14ac:dyDescent="0.3">
      <c r="A1721" s="2"/>
      <c r="F1721" s="3"/>
      <c r="G1721" s="3"/>
      <c r="N1721" s="3"/>
      <c r="Q1721" s="3"/>
      <c r="R1721" s="3"/>
      <c r="S1721" s="3"/>
      <c r="V1721" s="3"/>
      <c r="W1721" s="3"/>
      <c r="X1721" s="3"/>
      <c r="Y1721" s="3"/>
      <c r="Z1721" s="3"/>
      <c r="AA1721" s="3"/>
      <c r="AB1721" s="3"/>
    </row>
    <row r="1722" spans="1:28" x14ac:dyDescent="0.3">
      <c r="A1722" s="2"/>
      <c r="F1722" s="3"/>
      <c r="G1722" s="3"/>
      <c r="N1722" s="3"/>
      <c r="Q1722" s="3"/>
      <c r="R1722" s="3"/>
      <c r="S1722" s="3"/>
      <c r="V1722" s="3"/>
      <c r="W1722" s="3"/>
      <c r="X1722" s="3"/>
      <c r="Y1722" s="3"/>
      <c r="Z1722" s="3"/>
      <c r="AA1722" s="3"/>
      <c r="AB1722" s="3"/>
    </row>
    <row r="1723" spans="1:28" x14ac:dyDescent="0.3">
      <c r="A1723" s="2"/>
      <c r="F1723" s="3"/>
      <c r="G1723" s="3"/>
      <c r="N1723" s="3"/>
      <c r="Q1723" s="3"/>
      <c r="R1723" s="3"/>
      <c r="S1723" s="3"/>
      <c r="V1723" s="3"/>
      <c r="W1723" s="3"/>
      <c r="X1723" s="3"/>
      <c r="Y1723" s="3"/>
      <c r="Z1723" s="3"/>
      <c r="AA1723" s="3"/>
      <c r="AB1723" s="3"/>
    </row>
    <row r="1724" spans="1:28" x14ac:dyDescent="0.3">
      <c r="A1724" s="2"/>
      <c r="F1724" s="3"/>
      <c r="G1724" s="3"/>
      <c r="N1724" s="3"/>
      <c r="Q1724" s="3"/>
      <c r="R1724" s="3"/>
      <c r="S1724" s="3"/>
      <c r="V1724" s="3"/>
      <c r="W1724" s="3"/>
      <c r="X1724" s="3"/>
      <c r="Y1724" s="3"/>
      <c r="Z1724" s="3"/>
      <c r="AA1724" s="3"/>
      <c r="AB1724" s="3"/>
    </row>
    <row r="1725" spans="1:28" x14ac:dyDescent="0.3">
      <c r="A1725" s="2"/>
      <c r="F1725" s="3"/>
      <c r="G1725" s="3"/>
      <c r="N1725" s="3"/>
      <c r="Q1725" s="3"/>
      <c r="R1725" s="3"/>
      <c r="S1725" s="3"/>
      <c r="V1725" s="3"/>
      <c r="W1725" s="3"/>
      <c r="X1725" s="3"/>
      <c r="Y1725" s="3"/>
      <c r="Z1725" s="3"/>
      <c r="AA1725" s="3"/>
      <c r="AB1725" s="3"/>
    </row>
    <row r="1726" spans="1:28" x14ac:dyDescent="0.3">
      <c r="A1726" s="2"/>
      <c r="F1726" s="3"/>
      <c r="G1726" s="3"/>
      <c r="N1726" s="3"/>
      <c r="Q1726" s="3"/>
      <c r="R1726" s="3"/>
      <c r="S1726" s="3"/>
      <c r="V1726" s="3"/>
      <c r="W1726" s="3"/>
      <c r="X1726" s="3"/>
      <c r="Y1726" s="3"/>
      <c r="Z1726" s="3"/>
      <c r="AA1726" s="3"/>
      <c r="AB1726" s="3"/>
    </row>
    <row r="1727" spans="1:28" x14ac:dyDescent="0.3">
      <c r="A1727" s="2"/>
      <c r="F1727" s="3"/>
      <c r="G1727" s="3"/>
      <c r="N1727" s="3"/>
      <c r="Q1727" s="3"/>
      <c r="R1727" s="3"/>
      <c r="S1727" s="3"/>
      <c r="V1727" s="3"/>
      <c r="W1727" s="3"/>
      <c r="X1727" s="3"/>
      <c r="Y1727" s="3"/>
      <c r="Z1727" s="3"/>
      <c r="AA1727" s="3"/>
      <c r="AB1727" s="3"/>
    </row>
    <row r="1728" spans="1:28" x14ac:dyDescent="0.3">
      <c r="A1728" s="2"/>
      <c r="F1728" s="3"/>
      <c r="G1728" s="3"/>
      <c r="N1728" s="3"/>
      <c r="Q1728" s="3"/>
      <c r="R1728" s="3"/>
      <c r="S1728" s="3"/>
      <c r="V1728" s="3"/>
      <c r="W1728" s="3"/>
      <c r="X1728" s="3"/>
      <c r="Y1728" s="3"/>
      <c r="Z1728" s="3"/>
      <c r="AA1728" s="3"/>
      <c r="AB1728" s="3"/>
    </row>
    <row r="1729" spans="1:28" x14ac:dyDescent="0.3">
      <c r="A1729" s="2"/>
      <c r="F1729" s="3"/>
      <c r="G1729" s="3"/>
      <c r="N1729" s="3"/>
      <c r="Q1729" s="3"/>
      <c r="R1729" s="3"/>
      <c r="S1729" s="3"/>
      <c r="V1729" s="3"/>
      <c r="W1729" s="3"/>
      <c r="X1729" s="3"/>
      <c r="Y1729" s="3"/>
      <c r="Z1729" s="3"/>
      <c r="AA1729" s="3"/>
      <c r="AB1729" s="3"/>
    </row>
    <row r="1730" spans="1:28" x14ac:dyDescent="0.3">
      <c r="A1730" s="2"/>
      <c r="F1730" s="3"/>
      <c r="G1730" s="3"/>
      <c r="N1730" s="3"/>
      <c r="Q1730" s="3"/>
      <c r="R1730" s="3"/>
      <c r="S1730" s="3"/>
      <c r="V1730" s="3"/>
      <c r="W1730" s="3"/>
      <c r="X1730" s="3"/>
      <c r="Y1730" s="3"/>
      <c r="Z1730" s="3"/>
      <c r="AA1730" s="3"/>
      <c r="AB1730" s="3"/>
    </row>
    <row r="1731" spans="1:28" x14ac:dyDescent="0.3">
      <c r="A1731" s="2"/>
      <c r="F1731" s="3"/>
      <c r="G1731" s="3"/>
      <c r="N1731" s="3"/>
      <c r="Q1731" s="3"/>
      <c r="R1731" s="3"/>
      <c r="S1731" s="3"/>
      <c r="V1731" s="3"/>
      <c r="W1731" s="3"/>
      <c r="X1731" s="3"/>
      <c r="Y1731" s="3"/>
      <c r="Z1731" s="3"/>
      <c r="AA1731" s="3"/>
      <c r="AB1731" s="3"/>
    </row>
    <row r="1732" spans="1:28" x14ac:dyDescent="0.3">
      <c r="A1732" s="2"/>
      <c r="F1732" s="3"/>
      <c r="G1732" s="3"/>
      <c r="N1732" s="3"/>
      <c r="Q1732" s="3"/>
      <c r="R1732" s="3"/>
      <c r="S1732" s="3"/>
      <c r="V1732" s="3"/>
      <c r="W1732" s="3"/>
      <c r="X1732" s="3"/>
      <c r="Y1732" s="3"/>
      <c r="Z1732" s="3"/>
      <c r="AA1732" s="3"/>
      <c r="AB1732" s="3"/>
    </row>
    <row r="1733" spans="1:28" x14ac:dyDescent="0.3">
      <c r="A1733" s="2"/>
      <c r="F1733" s="3"/>
      <c r="G1733" s="3"/>
      <c r="N1733" s="3"/>
      <c r="Q1733" s="3"/>
      <c r="R1733" s="3"/>
      <c r="S1733" s="3"/>
      <c r="V1733" s="3"/>
      <c r="W1733" s="3"/>
      <c r="X1733" s="3"/>
      <c r="Y1733" s="3"/>
      <c r="Z1733" s="3"/>
      <c r="AA1733" s="3"/>
      <c r="AB1733" s="3"/>
    </row>
    <row r="1734" spans="1:28" x14ac:dyDescent="0.3">
      <c r="A1734" s="2"/>
      <c r="F1734" s="3"/>
      <c r="G1734" s="3"/>
      <c r="N1734" s="3"/>
      <c r="Q1734" s="3"/>
      <c r="R1734" s="3"/>
      <c r="S1734" s="3"/>
      <c r="V1734" s="3"/>
      <c r="W1734" s="3"/>
      <c r="X1734" s="3"/>
      <c r="Y1734" s="3"/>
      <c r="Z1734" s="3"/>
      <c r="AA1734" s="3"/>
      <c r="AB1734" s="3"/>
    </row>
    <row r="1735" spans="1:28" x14ac:dyDescent="0.3">
      <c r="A1735" s="2"/>
      <c r="F1735" s="3"/>
      <c r="G1735" s="3"/>
      <c r="N1735" s="3"/>
      <c r="Q1735" s="3"/>
      <c r="R1735" s="3"/>
      <c r="S1735" s="3"/>
      <c r="V1735" s="3"/>
      <c r="W1735" s="3"/>
      <c r="X1735" s="3"/>
      <c r="Y1735" s="3"/>
      <c r="Z1735" s="3"/>
      <c r="AA1735" s="3"/>
      <c r="AB1735" s="3"/>
    </row>
    <row r="1736" spans="1:28" x14ac:dyDescent="0.3">
      <c r="A1736" s="2"/>
      <c r="F1736" s="3"/>
      <c r="G1736" s="3"/>
      <c r="N1736" s="3"/>
      <c r="Q1736" s="3"/>
      <c r="R1736" s="3"/>
      <c r="S1736" s="3"/>
      <c r="V1736" s="3"/>
      <c r="W1736" s="3"/>
      <c r="X1736" s="3"/>
      <c r="Y1736" s="3"/>
      <c r="Z1736" s="3"/>
      <c r="AA1736" s="3"/>
      <c r="AB1736" s="3"/>
    </row>
    <row r="1737" spans="1:28" x14ac:dyDescent="0.3">
      <c r="A1737" s="2"/>
      <c r="F1737" s="3"/>
      <c r="G1737" s="3"/>
      <c r="N1737" s="3"/>
      <c r="Q1737" s="3"/>
      <c r="R1737" s="3"/>
      <c r="S1737" s="3"/>
      <c r="V1737" s="3"/>
      <c r="W1737" s="3"/>
      <c r="X1737" s="3"/>
      <c r="Y1737" s="3"/>
      <c r="Z1737" s="3"/>
      <c r="AA1737" s="3"/>
      <c r="AB1737" s="3"/>
    </row>
    <row r="1738" spans="1:28" x14ac:dyDescent="0.3">
      <c r="A1738" s="2"/>
      <c r="F1738" s="3"/>
      <c r="G1738" s="3"/>
      <c r="N1738" s="3"/>
      <c r="Q1738" s="3"/>
      <c r="R1738" s="3"/>
      <c r="S1738" s="3"/>
      <c r="V1738" s="3"/>
      <c r="W1738" s="3"/>
      <c r="X1738" s="3"/>
      <c r="Y1738" s="3"/>
      <c r="Z1738" s="3"/>
      <c r="AA1738" s="3"/>
      <c r="AB1738" s="3"/>
    </row>
    <row r="1739" spans="1:28" x14ac:dyDescent="0.3">
      <c r="A1739" s="2"/>
      <c r="F1739" s="3"/>
      <c r="G1739" s="3"/>
      <c r="N1739" s="3"/>
      <c r="Q1739" s="3"/>
      <c r="R1739" s="3"/>
      <c r="S1739" s="3"/>
      <c r="V1739" s="3"/>
      <c r="W1739" s="3"/>
      <c r="X1739" s="3"/>
      <c r="Y1739" s="3"/>
      <c r="Z1739" s="3"/>
      <c r="AA1739" s="3"/>
      <c r="AB1739" s="3"/>
    </row>
    <row r="1740" spans="1:28" x14ac:dyDescent="0.3">
      <c r="A1740" s="2"/>
      <c r="F1740" s="3"/>
      <c r="G1740" s="3"/>
      <c r="N1740" s="3"/>
      <c r="Q1740" s="3"/>
      <c r="R1740" s="3"/>
      <c r="S1740" s="3"/>
      <c r="V1740" s="3"/>
      <c r="W1740" s="3"/>
      <c r="X1740" s="3"/>
      <c r="Y1740" s="3"/>
      <c r="Z1740" s="3"/>
      <c r="AA1740" s="3"/>
      <c r="AB1740" s="3"/>
    </row>
    <row r="1741" spans="1:28" x14ac:dyDescent="0.3">
      <c r="A1741" s="2"/>
      <c r="F1741" s="3"/>
      <c r="G1741" s="3"/>
      <c r="N1741" s="3"/>
      <c r="Q1741" s="3"/>
      <c r="R1741" s="3"/>
      <c r="S1741" s="3"/>
      <c r="V1741" s="3"/>
      <c r="W1741" s="3"/>
      <c r="X1741" s="3"/>
      <c r="Y1741" s="3"/>
      <c r="Z1741" s="3"/>
      <c r="AA1741" s="3"/>
      <c r="AB1741" s="3"/>
    </row>
    <row r="1742" spans="1:28" x14ac:dyDescent="0.3">
      <c r="A1742" s="2"/>
      <c r="F1742" s="3"/>
      <c r="G1742" s="3"/>
      <c r="N1742" s="3"/>
      <c r="Q1742" s="3"/>
      <c r="R1742" s="3"/>
      <c r="S1742" s="3"/>
      <c r="V1742" s="3"/>
      <c r="W1742" s="3"/>
      <c r="X1742" s="3"/>
      <c r="Y1742" s="3"/>
      <c r="Z1742" s="3"/>
      <c r="AA1742" s="3"/>
      <c r="AB1742" s="3"/>
    </row>
    <row r="1743" spans="1:28" x14ac:dyDescent="0.3">
      <c r="A1743" s="2"/>
      <c r="F1743" s="3"/>
      <c r="G1743" s="3"/>
      <c r="N1743" s="3"/>
      <c r="Q1743" s="3"/>
      <c r="R1743" s="3"/>
      <c r="S1743" s="3"/>
      <c r="V1743" s="3"/>
      <c r="W1743" s="3"/>
      <c r="X1743" s="3"/>
      <c r="Y1743" s="3"/>
      <c r="Z1743" s="3"/>
      <c r="AA1743" s="3"/>
      <c r="AB1743" s="3"/>
    </row>
    <row r="1744" spans="1:28" x14ac:dyDescent="0.3">
      <c r="A1744" s="2"/>
      <c r="F1744" s="3"/>
      <c r="G1744" s="3"/>
      <c r="N1744" s="3"/>
      <c r="Q1744" s="3"/>
      <c r="R1744" s="3"/>
      <c r="S1744" s="3"/>
      <c r="V1744" s="3"/>
      <c r="W1744" s="3"/>
      <c r="X1744" s="3"/>
      <c r="Y1744" s="3"/>
      <c r="Z1744" s="3"/>
      <c r="AA1744" s="3"/>
      <c r="AB1744" s="3"/>
    </row>
    <row r="1745" spans="1:28" x14ac:dyDescent="0.3">
      <c r="A1745" s="2"/>
      <c r="F1745" s="3"/>
      <c r="G1745" s="3"/>
      <c r="N1745" s="3"/>
      <c r="Q1745" s="3"/>
      <c r="R1745" s="3"/>
      <c r="S1745" s="3"/>
      <c r="V1745" s="3"/>
      <c r="W1745" s="3"/>
      <c r="X1745" s="3"/>
      <c r="Y1745" s="3"/>
      <c r="Z1745" s="3"/>
      <c r="AA1745" s="3"/>
      <c r="AB1745" s="3"/>
    </row>
    <row r="1746" spans="1:28" x14ac:dyDescent="0.3">
      <c r="A1746" s="2"/>
      <c r="F1746" s="3"/>
      <c r="G1746" s="3"/>
      <c r="N1746" s="3"/>
      <c r="Q1746" s="3"/>
      <c r="R1746" s="3"/>
      <c r="S1746" s="3"/>
      <c r="V1746" s="3"/>
      <c r="W1746" s="3"/>
      <c r="X1746" s="3"/>
      <c r="Y1746" s="3"/>
      <c r="Z1746" s="3"/>
      <c r="AA1746" s="3"/>
      <c r="AB1746" s="3"/>
    </row>
    <row r="1747" spans="1:28" x14ac:dyDescent="0.3">
      <c r="A1747" s="2"/>
      <c r="F1747" s="3"/>
      <c r="G1747" s="3"/>
      <c r="N1747" s="3"/>
      <c r="Q1747" s="3"/>
      <c r="R1747" s="3"/>
      <c r="S1747" s="3"/>
      <c r="V1747" s="3"/>
      <c r="W1747" s="3"/>
      <c r="X1747" s="3"/>
      <c r="Y1747" s="3"/>
      <c r="Z1747" s="3"/>
      <c r="AA1747" s="3"/>
      <c r="AB1747" s="3"/>
    </row>
    <row r="1748" spans="1:28" x14ac:dyDescent="0.3">
      <c r="A1748" s="2"/>
      <c r="F1748" s="3"/>
      <c r="G1748" s="3"/>
      <c r="N1748" s="3"/>
      <c r="Q1748" s="3"/>
      <c r="R1748" s="3"/>
      <c r="S1748" s="3"/>
      <c r="V1748" s="3"/>
      <c r="W1748" s="3"/>
      <c r="X1748" s="3"/>
      <c r="Y1748" s="3"/>
      <c r="Z1748" s="3"/>
      <c r="AA1748" s="3"/>
      <c r="AB1748" s="3"/>
    </row>
    <row r="1749" spans="1:28" x14ac:dyDescent="0.3">
      <c r="A1749" s="2"/>
      <c r="F1749" s="3"/>
      <c r="G1749" s="3"/>
      <c r="N1749" s="3"/>
      <c r="Q1749" s="3"/>
      <c r="R1749" s="3"/>
      <c r="S1749" s="3"/>
      <c r="V1749" s="3"/>
      <c r="W1749" s="3"/>
      <c r="X1749" s="3"/>
      <c r="Y1749" s="3"/>
      <c r="Z1749" s="3"/>
      <c r="AA1749" s="3"/>
      <c r="AB1749" s="3"/>
    </row>
    <row r="1750" spans="1:28" x14ac:dyDescent="0.3">
      <c r="A1750" s="2"/>
      <c r="F1750" s="3"/>
      <c r="G1750" s="3"/>
      <c r="N1750" s="3"/>
      <c r="Q1750" s="3"/>
      <c r="R1750" s="3"/>
      <c r="S1750" s="3"/>
      <c r="V1750" s="3"/>
      <c r="W1750" s="3"/>
      <c r="X1750" s="3"/>
      <c r="Y1750" s="3"/>
      <c r="Z1750" s="3"/>
      <c r="AA1750" s="3"/>
      <c r="AB1750" s="3"/>
    </row>
    <row r="1751" spans="1:28" x14ac:dyDescent="0.3">
      <c r="A1751" s="2"/>
      <c r="F1751" s="3"/>
      <c r="G1751" s="3"/>
      <c r="N1751" s="3"/>
      <c r="Q1751" s="3"/>
      <c r="R1751" s="3"/>
      <c r="S1751" s="3"/>
      <c r="V1751" s="3"/>
      <c r="W1751" s="3"/>
      <c r="X1751" s="3"/>
      <c r="Y1751" s="3"/>
      <c r="Z1751" s="3"/>
      <c r="AA1751" s="3"/>
      <c r="AB1751" s="3"/>
    </row>
    <row r="1752" spans="1:28" x14ac:dyDescent="0.3">
      <c r="A1752" s="2"/>
      <c r="F1752" s="3"/>
      <c r="G1752" s="3"/>
      <c r="N1752" s="3"/>
      <c r="Q1752" s="3"/>
      <c r="R1752" s="3"/>
      <c r="S1752" s="3"/>
      <c r="V1752" s="3"/>
      <c r="W1752" s="3"/>
      <c r="X1752" s="3"/>
      <c r="Y1752" s="3"/>
      <c r="Z1752" s="3"/>
      <c r="AA1752" s="3"/>
      <c r="AB1752" s="3"/>
    </row>
    <row r="1753" spans="1:28" x14ac:dyDescent="0.3">
      <c r="A1753" s="2"/>
      <c r="F1753" s="3"/>
      <c r="G1753" s="3"/>
      <c r="N1753" s="3"/>
      <c r="Q1753" s="3"/>
      <c r="R1753" s="3"/>
      <c r="S1753" s="3"/>
      <c r="V1753" s="3"/>
      <c r="W1753" s="3"/>
      <c r="X1753" s="3"/>
      <c r="Y1753" s="3"/>
      <c r="Z1753" s="3"/>
      <c r="AA1753" s="3"/>
      <c r="AB1753" s="3"/>
    </row>
    <row r="1754" spans="1:28" x14ac:dyDescent="0.3">
      <c r="A1754" s="2"/>
      <c r="F1754" s="3"/>
      <c r="G1754" s="3"/>
      <c r="N1754" s="3"/>
      <c r="Q1754" s="3"/>
      <c r="R1754" s="3"/>
      <c r="S1754" s="3"/>
      <c r="V1754" s="3"/>
      <c r="W1754" s="3"/>
      <c r="X1754" s="3"/>
      <c r="Y1754" s="3"/>
      <c r="Z1754" s="3"/>
      <c r="AA1754" s="3"/>
      <c r="AB1754" s="3"/>
    </row>
    <row r="1755" spans="1:28" x14ac:dyDescent="0.3">
      <c r="A1755" s="2"/>
      <c r="F1755" s="3"/>
      <c r="G1755" s="3"/>
      <c r="N1755" s="3"/>
      <c r="Q1755" s="3"/>
      <c r="R1755" s="3"/>
      <c r="S1755" s="3"/>
      <c r="V1755" s="3"/>
      <c r="W1755" s="3"/>
      <c r="X1755" s="3"/>
      <c r="Y1755" s="3"/>
      <c r="Z1755" s="3"/>
      <c r="AA1755" s="3"/>
      <c r="AB1755" s="3"/>
    </row>
    <row r="1756" spans="1:28" x14ac:dyDescent="0.3">
      <c r="A1756" s="2"/>
      <c r="F1756" s="3"/>
      <c r="G1756" s="3"/>
      <c r="N1756" s="3"/>
      <c r="Q1756" s="3"/>
      <c r="R1756" s="3"/>
      <c r="S1756" s="3"/>
      <c r="V1756" s="3"/>
      <c r="W1756" s="3"/>
      <c r="X1756" s="3"/>
      <c r="Y1756" s="3"/>
      <c r="Z1756" s="3"/>
      <c r="AA1756" s="3"/>
      <c r="AB1756" s="3"/>
    </row>
    <row r="1757" spans="1:28" x14ac:dyDescent="0.3">
      <c r="A1757" s="2"/>
      <c r="F1757" s="3"/>
      <c r="G1757" s="3"/>
      <c r="N1757" s="3"/>
      <c r="Q1757" s="3"/>
      <c r="R1757" s="3"/>
      <c r="S1757" s="3"/>
      <c r="V1757" s="3"/>
      <c r="W1757" s="3"/>
      <c r="X1757" s="3"/>
      <c r="Y1757" s="3"/>
      <c r="Z1757" s="3"/>
      <c r="AA1757" s="3"/>
      <c r="AB1757" s="3"/>
    </row>
    <row r="1758" spans="1:28" x14ac:dyDescent="0.3">
      <c r="A1758" s="2"/>
      <c r="F1758" s="3"/>
      <c r="G1758" s="3"/>
      <c r="N1758" s="3"/>
      <c r="Q1758" s="3"/>
      <c r="R1758" s="3"/>
      <c r="S1758" s="3"/>
      <c r="V1758" s="3"/>
      <c r="W1758" s="3"/>
      <c r="X1758" s="3"/>
      <c r="Y1758" s="3"/>
      <c r="Z1758" s="3"/>
      <c r="AA1758" s="3"/>
      <c r="AB1758" s="3"/>
    </row>
    <row r="1759" spans="1:28" x14ac:dyDescent="0.3">
      <c r="A1759" s="2"/>
      <c r="F1759" s="3"/>
      <c r="G1759" s="3"/>
      <c r="N1759" s="3"/>
      <c r="Q1759" s="3"/>
      <c r="R1759" s="3"/>
      <c r="S1759" s="3"/>
      <c r="V1759" s="3"/>
      <c r="W1759" s="3"/>
      <c r="X1759" s="3"/>
      <c r="Y1759" s="3"/>
      <c r="Z1759" s="3"/>
      <c r="AA1759" s="3"/>
      <c r="AB1759" s="3"/>
    </row>
    <row r="1760" spans="1:28" x14ac:dyDescent="0.3">
      <c r="A1760" s="2"/>
      <c r="F1760" s="3"/>
      <c r="G1760" s="3"/>
      <c r="N1760" s="3"/>
      <c r="Q1760" s="3"/>
      <c r="R1760" s="3"/>
      <c r="S1760" s="3"/>
      <c r="V1760" s="3"/>
      <c r="W1760" s="3"/>
      <c r="X1760" s="3"/>
      <c r="Y1760" s="3"/>
      <c r="Z1760" s="3"/>
      <c r="AA1760" s="3"/>
      <c r="AB1760" s="3"/>
    </row>
    <row r="1761" spans="1:28" x14ac:dyDescent="0.3">
      <c r="A1761" s="2"/>
      <c r="F1761" s="3"/>
      <c r="G1761" s="3"/>
      <c r="N1761" s="3"/>
      <c r="Q1761" s="3"/>
      <c r="R1761" s="3"/>
      <c r="S1761" s="3"/>
      <c r="V1761" s="3"/>
      <c r="W1761" s="3"/>
      <c r="X1761" s="3"/>
      <c r="Y1761" s="3"/>
      <c r="Z1761" s="3"/>
      <c r="AA1761" s="3"/>
      <c r="AB1761" s="3"/>
    </row>
    <row r="1762" spans="1:28" x14ac:dyDescent="0.3">
      <c r="A1762" s="2"/>
      <c r="F1762" s="3"/>
      <c r="G1762" s="3"/>
      <c r="N1762" s="3"/>
      <c r="Q1762" s="3"/>
      <c r="R1762" s="3"/>
      <c r="S1762" s="3"/>
      <c r="V1762" s="3"/>
      <c r="W1762" s="3"/>
      <c r="X1762" s="3"/>
      <c r="Y1762" s="3"/>
      <c r="Z1762" s="3"/>
      <c r="AA1762" s="3"/>
      <c r="AB1762" s="3"/>
    </row>
    <row r="1763" spans="1:28" x14ac:dyDescent="0.3">
      <c r="A1763" s="2"/>
      <c r="F1763" s="3"/>
      <c r="G1763" s="3"/>
      <c r="N1763" s="3"/>
      <c r="Q1763" s="3"/>
      <c r="R1763" s="3"/>
      <c r="S1763" s="3"/>
      <c r="V1763" s="3"/>
      <c r="W1763" s="3"/>
      <c r="X1763" s="3"/>
      <c r="Y1763" s="3"/>
      <c r="Z1763" s="3"/>
      <c r="AA1763" s="3"/>
      <c r="AB1763" s="3"/>
    </row>
    <row r="1764" spans="1:28" x14ac:dyDescent="0.3">
      <c r="A1764" s="2"/>
      <c r="F1764" s="3"/>
      <c r="G1764" s="3"/>
      <c r="N1764" s="3"/>
      <c r="Q1764" s="3"/>
      <c r="R1764" s="3"/>
      <c r="S1764" s="3"/>
      <c r="V1764" s="3"/>
      <c r="W1764" s="3"/>
      <c r="X1764" s="3"/>
      <c r="Y1764" s="3"/>
      <c r="Z1764" s="3"/>
      <c r="AA1764" s="3"/>
      <c r="AB1764" s="3"/>
    </row>
    <row r="1765" spans="1:28" x14ac:dyDescent="0.3">
      <c r="A1765" s="2"/>
      <c r="F1765" s="3"/>
      <c r="G1765" s="3"/>
      <c r="N1765" s="3"/>
      <c r="Q1765" s="3"/>
      <c r="R1765" s="3"/>
      <c r="S1765" s="3"/>
      <c r="V1765" s="3"/>
      <c r="W1765" s="3"/>
      <c r="X1765" s="3"/>
      <c r="Y1765" s="3"/>
      <c r="Z1765" s="3"/>
      <c r="AA1765" s="3"/>
      <c r="AB1765" s="3"/>
    </row>
    <row r="1766" spans="1:28" x14ac:dyDescent="0.3">
      <c r="A1766" s="2"/>
      <c r="F1766" s="3"/>
      <c r="G1766" s="3"/>
      <c r="N1766" s="3"/>
      <c r="Q1766" s="3"/>
      <c r="R1766" s="3"/>
      <c r="S1766" s="3"/>
      <c r="V1766" s="3"/>
      <c r="W1766" s="3"/>
      <c r="X1766" s="3"/>
      <c r="Y1766" s="3"/>
      <c r="Z1766" s="3"/>
      <c r="AA1766" s="3"/>
      <c r="AB1766" s="3"/>
    </row>
    <row r="1767" spans="1:28" x14ac:dyDescent="0.3">
      <c r="A1767" s="2"/>
      <c r="F1767" s="3"/>
      <c r="G1767" s="3"/>
      <c r="N1767" s="3"/>
      <c r="Q1767" s="3"/>
      <c r="R1767" s="3"/>
      <c r="S1767" s="3"/>
      <c r="V1767" s="3"/>
      <c r="W1767" s="3"/>
      <c r="X1767" s="3"/>
      <c r="Y1767" s="3"/>
      <c r="Z1767" s="3"/>
      <c r="AA1767" s="3"/>
      <c r="AB1767" s="3"/>
    </row>
    <row r="1768" spans="1:28" x14ac:dyDescent="0.3">
      <c r="A1768" s="2"/>
      <c r="F1768" s="3"/>
      <c r="G1768" s="3"/>
      <c r="N1768" s="3"/>
      <c r="Q1768" s="3"/>
      <c r="R1768" s="3"/>
      <c r="S1768" s="3"/>
      <c r="V1768" s="3"/>
      <c r="W1768" s="3"/>
      <c r="X1768" s="3"/>
      <c r="Y1768" s="3"/>
      <c r="Z1768" s="3"/>
      <c r="AA1768" s="3"/>
      <c r="AB1768" s="3"/>
    </row>
    <row r="1769" spans="1:28" x14ac:dyDescent="0.3">
      <c r="A1769" s="2"/>
      <c r="F1769" s="3"/>
      <c r="G1769" s="3"/>
      <c r="N1769" s="3"/>
      <c r="Q1769" s="3"/>
      <c r="R1769" s="3"/>
      <c r="S1769" s="3"/>
      <c r="V1769" s="3"/>
      <c r="W1769" s="3"/>
      <c r="X1769" s="3"/>
      <c r="Y1769" s="3"/>
      <c r="Z1769" s="3"/>
      <c r="AA1769" s="3"/>
      <c r="AB1769" s="3"/>
    </row>
    <row r="1770" spans="1:28" x14ac:dyDescent="0.3">
      <c r="A1770" s="2"/>
      <c r="F1770" s="3"/>
      <c r="G1770" s="3"/>
      <c r="N1770" s="3"/>
      <c r="Q1770" s="3"/>
      <c r="R1770" s="3"/>
      <c r="S1770" s="3"/>
      <c r="V1770" s="3"/>
      <c r="W1770" s="3"/>
      <c r="X1770" s="3"/>
      <c r="Y1770" s="3"/>
      <c r="Z1770" s="3"/>
      <c r="AA1770" s="3"/>
      <c r="AB1770" s="3"/>
    </row>
    <row r="1771" spans="1:28" x14ac:dyDescent="0.3">
      <c r="A1771" s="2"/>
      <c r="F1771" s="3"/>
      <c r="G1771" s="3"/>
      <c r="N1771" s="3"/>
      <c r="Q1771" s="3"/>
      <c r="R1771" s="3"/>
      <c r="S1771" s="3"/>
      <c r="V1771" s="3"/>
      <c r="W1771" s="3"/>
      <c r="X1771" s="3"/>
      <c r="Y1771" s="3"/>
      <c r="Z1771" s="3"/>
      <c r="AA1771" s="3"/>
      <c r="AB1771" s="3"/>
    </row>
    <row r="1772" spans="1:28" x14ac:dyDescent="0.3">
      <c r="A1772" s="2"/>
      <c r="F1772" s="3"/>
      <c r="G1772" s="3"/>
      <c r="N1772" s="3"/>
      <c r="Q1772" s="3"/>
      <c r="R1772" s="3"/>
      <c r="S1772" s="3"/>
      <c r="V1772" s="3"/>
      <c r="W1772" s="3"/>
      <c r="X1772" s="3"/>
      <c r="Y1772" s="3"/>
      <c r="Z1772" s="3"/>
      <c r="AA1772" s="3"/>
      <c r="AB1772" s="3"/>
    </row>
    <row r="1773" spans="1:28" x14ac:dyDescent="0.3">
      <c r="A1773" s="2"/>
      <c r="F1773" s="3"/>
      <c r="G1773" s="3"/>
      <c r="N1773" s="3"/>
      <c r="Q1773" s="3"/>
      <c r="R1773" s="3"/>
      <c r="S1773" s="3"/>
      <c r="V1773" s="3"/>
      <c r="W1773" s="3"/>
      <c r="X1773" s="3"/>
      <c r="Y1773" s="3"/>
      <c r="Z1773" s="3"/>
      <c r="AA1773" s="3"/>
      <c r="AB1773" s="3"/>
    </row>
    <row r="1774" spans="1:28" x14ac:dyDescent="0.3">
      <c r="A1774" s="2"/>
      <c r="F1774" s="3"/>
      <c r="G1774" s="3"/>
      <c r="N1774" s="3"/>
      <c r="Q1774" s="3"/>
      <c r="R1774" s="3"/>
      <c r="S1774" s="3"/>
      <c r="V1774" s="3"/>
      <c r="W1774" s="3"/>
      <c r="X1774" s="3"/>
      <c r="Y1774" s="3"/>
      <c r="Z1774" s="3"/>
      <c r="AA1774" s="3"/>
      <c r="AB1774" s="3"/>
    </row>
    <row r="1775" spans="1:28" x14ac:dyDescent="0.3">
      <c r="A1775" s="2"/>
      <c r="F1775" s="3"/>
      <c r="G1775" s="3"/>
      <c r="N1775" s="3"/>
      <c r="Q1775" s="3"/>
      <c r="R1775" s="3"/>
      <c r="S1775" s="3"/>
      <c r="V1775" s="3"/>
      <c r="W1775" s="3"/>
      <c r="X1775" s="3"/>
      <c r="Y1775" s="3"/>
      <c r="Z1775" s="3"/>
      <c r="AA1775" s="3"/>
      <c r="AB1775" s="3"/>
    </row>
    <row r="1776" spans="1:28" x14ac:dyDescent="0.3">
      <c r="A1776" s="2"/>
      <c r="F1776" s="3"/>
      <c r="G1776" s="3"/>
      <c r="N1776" s="3"/>
      <c r="Q1776" s="3"/>
      <c r="R1776" s="3"/>
      <c r="S1776" s="3"/>
      <c r="V1776" s="3"/>
      <c r="W1776" s="3"/>
      <c r="X1776" s="3"/>
      <c r="Y1776" s="3"/>
      <c r="Z1776" s="3"/>
      <c r="AA1776" s="3"/>
      <c r="AB1776" s="3"/>
    </row>
    <row r="1777" spans="1:28" x14ac:dyDescent="0.3">
      <c r="A1777" s="2"/>
      <c r="F1777" s="3"/>
      <c r="G1777" s="3"/>
      <c r="N1777" s="3"/>
      <c r="Q1777" s="3"/>
      <c r="R1777" s="3"/>
      <c r="S1777" s="3"/>
      <c r="V1777" s="3"/>
      <c r="W1777" s="3"/>
      <c r="X1777" s="3"/>
      <c r="Y1777" s="3"/>
      <c r="Z1777" s="3"/>
      <c r="AA1777" s="3"/>
      <c r="AB1777" s="3"/>
    </row>
    <row r="1778" spans="1:28" x14ac:dyDescent="0.3">
      <c r="A1778" s="2"/>
      <c r="F1778" s="3"/>
      <c r="G1778" s="3"/>
      <c r="N1778" s="3"/>
      <c r="Q1778" s="3"/>
      <c r="R1778" s="3"/>
      <c r="S1778" s="3"/>
      <c r="V1778" s="3"/>
      <c r="W1778" s="3"/>
      <c r="X1778" s="3"/>
      <c r="Y1778" s="3"/>
      <c r="Z1778" s="3"/>
      <c r="AA1778" s="3"/>
      <c r="AB1778" s="3"/>
    </row>
    <row r="1779" spans="1:28" x14ac:dyDescent="0.3">
      <c r="A1779" s="2"/>
      <c r="F1779" s="3"/>
      <c r="G1779" s="3"/>
      <c r="N1779" s="3"/>
      <c r="Q1779" s="3"/>
      <c r="R1779" s="3"/>
      <c r="S1779" s="3"/>
      <c r="V1779" s="3"/>
      <c r="W1779" s="3"/>
      <c r="X1779" s="3"/>
      <c r="Y1779" s="3"/>
      <c r="Z1779" s="3"/>
      <c r="AA1779" s="3"/>
      <c r="AB1779" s="3"/>
    </row>
    <row r="1780" spans="1:28" x14ac:dyDescent="0.3">
      <c r="A1780" s="2"/>
      <c r="F1780" s="3"/>
      <c r="G1780" s="3"/>
      <c r="N1780" s="3"/>
      <c r="Q1780" s="3"/>
      <c r="R1780" s="3"/>
      <c r="S1780" s="3"/>
      <c r="V1780" s="3"/>
      <c r="W1780" s="3"/>
      <c r="X1780" s="3"/>
      <c r="Y1780" s="3"/>
      <c r="Z1780" s="3"/>
      <c r="AA1780" s="3"/>
      <c r="AB1780" s="3"/>
    </row>
    <row r="1781" spans="1:28" x14ac:dyDescent="0.3">
      <c r="A1781" s="2"/>
      <c r="F1781" s="3"/>
      <c r="G1781" s="3"/>
      <c r="N1781" s="3"/>
      <c r="Q1781" s="3"/>
      <c r="R1781" s="3"/>
      <c r="S1781" s="3"/>
      <c r="V1781" s="3"/>
      <c r="W1781" s="3"/>
      <c r="X1781" s="3"/>
      <c r="Y1781" s="3"/>
      <c r="Z1781" s="3"/>
      <c r="AA1781" s="3"/>
      <c r="AB1781" s="3"/>
    </row>
    <row r="1782" spans="1:28" x14ac:dyDescent="0.3">
      <c r="A1782" s="2"/>
      <c r="F1782" s="3"/>
      <c r="G1782" s="3"/>
      <c r="N1782" s="3"/>
      <c r="Q1782" s="3"/>
      <c r="R1782" s="3"/>
      <c r="S1782" s="3"/>
      <c r="V1782" s="3"/>
      <c r="W1782" s="3"/>
      <c r="X1782" s="3"/>
      <c r="Y1782" s="3"/>
      <c r="Z1782" s="3"/>
      <c r="AA1782" s="3"/>
      <c r="AB1782" s="3"/>
    </row>
    <row r="1783" spans="1:28" x14ac:dyDescent="0.3">
      <c r="A1783" s="2"/>
      <c r="F1783" s="3"/>
      <c r="G1783" s="3"/>
      <c r="N1783" s="3"/>
      <c r="Q1783" s="3"/>
      <c r="R1783" s="3"/>
      <c r="S1783" s="3"/>
      <c r="V1783" s="3"/>
      <c r="W1783" s="3"/>
      <c r="X1783" s="3"/>
      <c r="Y1783" s="3"/>
      <c r="Z1783" s="3"/>
      <c r="AA1783" s="3"/>
      <c r="AB1783" s="3"/>
    </row>
    <row r="1784" spans="1:28" x14ac:dyDescent="0.3">
      <c r="A1784" s="2"/>
      <c r="F1784" s="3"/>
      <c r="G1784" s="3"/>
      <c r="N1784" s="3"/>
      <c r="Q1784" s="3"/>
      <c r="R1784" s="3"/>
      <c r="S1784" s="3"/>
      <c r="V1784" s="3"/>
      <c r="W1784" s="3"/>
      <c r="X1784" s="3"/>
      <c r="Y1784" s="3"/>
      <c r="Z1784" s="3"/>
      <c r="AA1784" s="3"/>
      <c r="AB1784" s="3"/>
    </row>
    <row r="1785" spans="1:28" x14ac:dyDescent="0.3">
      <c r="A1785" s="2"/>
      <c r="F1785" s="3"/>
      <c r="G1785" s="3"/>
      <c r="N1785" s="3"/>
      <c r="Q1785" s="3"/>
      <c r="R1785" s="3"/>
      <c r="S1785" s="3"/>
      <c r="V1785" s="3"/>
      <c r="W1785" s="3"/>
      <c r="X1785" s="3"/>
      <c r="Y1785" s="3"/>
      <c r="Z1785" s="3"/>
      <c r="AA1785" s="3"/>
      <c r="AB1785" s="3"/>
    </row>
    <row r="1786" spans="1:28" x14ac:dyDescent="0.3">
      <c r="A1786" s="2"/>
      <c r="F1786" s="3"/>
      <c r="G1786" s="3"/>
      <c r="N1786" s="3"/>
      <c r="Q1786" s="3"/>
      <c r="R1786" s="3"/>
      <c r="S1786" s="3"/>
      <c r="V1786" s="3"/>
      <c r="W1786" s="3"/>
      <c r="X1786" s="3"/>
      <c r="Y1786" s="3"/>
      <c r="Z1786" s="3"/>
      <c r="AA1786" s="3"/>
      <c r="AB1786" s="3"/>
    </row>
    <row r="1787" spans="1:28" x14ac:dyDescent="0.3">
      <c r="A1787" s="2"/>
      <c r="F1787" s="3"/>
      <c r="G1787" s="3"/>
      <c r="N1787" s="3"/>
      <c r="Q1787" s="3"/>
      <c r="R1787" s="3"/>
      <c r="S1787" s="3"/>
      <c r="V1787" s="3"/>
      <c r="W1787" s="3"/>
      <c r="X1787" s="3"/>
      <c r="Y1787" s="3"/>
      <c r="Z1787" s="3"/>
      <c r="AA1787" s="3"/>
      <c r="AB1787" s="3"/>
    </row>
    <row r="1788" spans="1:28" x14ac:dyDescent="0.3">
      <c r="A1788" s="2"/>
      <c r="F1788" s="3"/>
      <c r="G1788" s="3"/>
      <c r="N1788" s="3"/>
      <c r="Q1788" s="3"/>
      <c r="R1788" s="3"/>
      <c r="S1788" s="3"/>
      <c r="V1788" s="3"/>
      <c r="W1788" s="3"/>
      <c r="X1788" s="3"/>
      <c r="Y1788" s="3"/>
      <c r="Z1788" s="3"/>
      <c r="AA1788" s="3"/>
      <c r="AB1788" s="3"/>
    </row>
    <row r="1789" spans="1:28" x14ac:dyDescent="0.3">
      <c r="A1789" s="2"/>
      <c r="F1789" s="3"/>
      <c r="G1789" s="3"/>
      <c r="N1789" s="3"/>
      <c r="Q1789" s="3"/>
      <c r="R1789" s="3"/>
      <c r="S1789" s="3"/>
      <c r="V1789" s="3"/>
      <c r="W1789" s="3"/>
      <c r="X1789" s="3"/>
      <c r="Y1789" s="3"/>
      <c r="Z1789" s="3"/>
      <c r="AA1789" s="3"/>
      <c r="AB1789" s="3"/>
    </row>
    <row r="1790" spans="1:28" x14ac:dyDescent="0.3">
      <c r="A1790" s="2"/>
      <c r="F1790" s="3"/>
      <c r="G1790" s="3"/>
      <c r="N1790" s="3"/>
      <c r="Q1790" s="3"/>
      <c r="R1790" s="3"/>
      <c r="S1790" s="3"/>
      <c r="V1790" s="3"/>
      <c r="W1790" s="3"/>
      <c r="X1790" s="3"/>
      <c r="Y1790" s="3"/>
      <c r="Z1790" s="3"/>
      <c r="AA1790" s="3"/>
      <c r="AB1790" s="3"/>
    </row>
    <row r="1791" spans="1:28" x14ac:dyDescent="0.3">
      <c r="A1791" s="2"/>
      <c r="F1791" s="3"/>
      <c r="G1791" s="3"/>
      <c r="N1791" s="3"/>
      <c r="Q1791" s="3"/>
      <c r="R1791" s="3"/>
      <c r="S1791" s="3"/>
      <c r="V1791" s="3"/>
      <c r="W1791" s="3"/>
      <c r="X1791" s="3"/>
      <c r="Y1791" s="3"/>
      <c r="Z1791" s="3"/>
      <c r="AA1791" s="3"/>
      <c r="AB1791" s="3"/>
    </row>
    <row r="1792" spans="1:28" x14ac:dyDescent="0.3">
      <c r="A1792" s="2"/>
      <c r="F1792" s="3"/>
      <c r="G1792" s="3"/>
      <c r="N1792" s="3"/>
      <c r="Q1792" s="3"/>
      <c r="R1792" s="3"/>
      <c r="S1792" s="3"/>
      <c r="V1792" s="3"/>
      <c r="W1792" s="3"/>
      <c r="X1792" s="3"/>
      <c r="Y1792" s="3"/>
      <c r="Z1792" s="3"/>
      <c r="AA1792" s="3"/>
      <c r="AB1792" s="3"/>
    </row>
    <row r="1793" spans="1:28" x14ac:dyDescent="0.3">
      <c r="A1793" s="2"/>
      <c r="F1793" s="3"/>
      <c r="G1793" s="3"/>
      <c r="N1793" s="3"/>
      <c r="Q1793" s="3"/>
      <c r="R1793" s="3"/>
      <c r="S1793" s="3"/>
      <c r="V1793" s="3"/>
      <c r="W1793" s="3"/>
      <c r="X1793" s="3"/>
      <c r="Y1793" s="3"/>
      <c r="Z1793" s="3"/>
      <c r="AA1793" s="3"/>
      <c r="AB1793" s="3"/>
    </row>
    <row r="1794" spans="1:28" x14ac:dyDescent="0.3">
      <c r="A1794" s="2"/>
      <c r="F1794" s="3"/>
      <c r="G1794" s="3"/>
      <c r="N1794" s="3"/>
      <c r="Q1794" s="3"/>
      <c r="R1794" s="3"/>
      <c r="S1794" s="3"/>
      <c r="V1794" s="3"/>
      <c r="W1794" s="3"/>
      <c r="X1794" s="3"/>
      <c r="Y1794" s="3"/>
      <c r="Z1794" s="3"/>
      <c r="AA1794" s="3"/>
      <c r="AB1794" s="3"/>
    </row>
    <row r="1795" spans="1:28" x14ac:dyDescent="0.3">
      <c r="A1795" s="2"/>
      <c r="F1795" s="3"/>
      <c r="G1795" s="3"/>
      <c r="N1795" s="3"/>
      <c r="Q1795" s="3"/>
      <c r="R1795" s="3"/>
      <c r="S1795" s="3"/>
      <c r="V1795" s="3"/>
      <c r="W1795" s="3"/>
      <c r="X1795" s="3"/>
      <c r="Y1795" s="3"/>
      <c r="Z1795" s="3"/>
      <c r="AA1795" s="3"/>
      <c r="AB1795" s="3"/>
    </row>
    <row r="1796" spans="1:28" x14ac:dyDescent="0.3">
      <c r="A1796" s="2"/>
      <c r="F1796" s="3"/>
      <c r="G1796" s="3"/>
      <c r="N1796" s="3"/>
      <c r="Q1796" s="3"/>
      <c r="R1796" s="3"/>
      <c r="S1796" s="3"/>
      <c r="V1796" s="3"/>
      <c r="W1796" s="3"/>
      <c r="X1796" s="3"/>
      <c r="Y1796" s="3"/>
      <c r="Z1796" s="3"/>
      <c r="AA1796" s="3"/>
      <c r="AB1796" s="3"/>
    </row>
    <row r="1797" spans="1:28" x14ac:dyDescent="0.3">
      <c r="A1797" s="2"/>
      <c r="F1797" s="3"/>
      <c r="G1797" s="3"/>
      <c r="N1797" s="3"/>
      <c r="Q1797" s="3"/>
      <c r="R1797" s="3"/>
      <c r="S1797" s="3"/>
      <c r="V1797" s="3"/>
      <c r="W1797" s="3"/>
      <c r="X1797" s="3"/>
      <c r="Y1797" s="3"/>
      <c r="Z1797" s="3"/>
      <c r="AA1797" s="3"/>
      <c r="AB1797" s="3"/>
    </row>
    <row r="1798" spans="1:28" x14ac:dyDescent="0.3">
      <c r="A1798" s="2"/>
      <c r="F1798" s="3"/>
      <c r="G1798" s="3"/>
      <c r="N1798" s="3"/>
      <c r="Q1798" s="3"/>
      <c r="R1798" s="3"/>
      <c r="S1798" s="3"/>
      <c r="V1798" s="3"/>
      <c r="W1798" s="3"/>
      <c r="X1798" s="3"/>
      <c r="Y1798" s="3"/>
      <c r="Z1798" s="3"/>
      <c r="AA1798" s="3"/>
      <c r="AB1798" s="3"/>
    </row>
    <row r="1799" spans="1:28" x14ac:dyDescent="0.3">
      <c r="A1799" s="2"/>
      <c r="F1799" s="3"/>
      <c r="G1799" s="3"/>
      <c r="N1799" s="3"/>
      <c r="Q1799" s="3"/>
      <c r="R1799" s="3"/>
      <c r="S1799" s="3"/>
      <c r="V1799" s="3"/>
      <c r="W1799" s="3"/>
      <c r="X1799" s="3"/>
      <c r="Y1799" s="3"/>
      <c r="Z1799" s="3"/>
      <c r="AA1799" s="3"/>
      <c r="AB1799" s="3"/>
    </row>
    <row r="1800" spans="1:28" x14ac:dyDescent="0.3">
      <c r="A1800" s="2"/>
      <c r="F1800" s="3"/>
      <c r="G1800" s="3"/>
      <c r="N1800" s="3"/>
      <c r="Q1800" s="3"/>
      <c r="R1800" s="3"/>
      <c r="S1800" s="3"/>
      <c r="V1800" s="3"/>
      <c r="W1800" s="3"/>
      <c r="X1800" s="3"/>
      <c r="Y1800" s="3"/>
      <c r="Z1800" s="3"/>
      <c r="AA1800" s="3"/>
      <c r="AB1800" s="3"/>
    </row>
    <row r="1801" spans="1:28" x14ac:dyDescent="0.3">
      <c r="A1801" s="2"/>
      <c r="F1801" s="3"/>
      <c r="G1801" s="3"/>
      <c r="N1801" s="3"/>
      <c r="Q1801" s="3"/>
      <c r="R1801" s="3"/>
      <c r="S1801" s="3"/>
      <c r="V1801" s="3"/>
      <c r="W1801" s="3"/>
      <c r="X1801" s="3"/>
      <c r="Y1801" s="3"/>
      <c r="Z1801" s="3"/>
      <c r="AA1801" s="3"/>
      <c r="AB1801" s="3"/>
    </row>
    <row r="1802" spans="1:28" x14ac:dyDescent="0.3">
      <c r="A1802" s="2"/>
      <c r="F1802" s="3"/>
      <c r="G1802" s="3"/>
      <c r="N1802" s="3"/>
      <c r="Q1802" s="3"/>
      <c r="R1802" s="3"/>
      <c r="S1802" s="3"/>
      <c r="V1802" s="3"/>
      <c r="W1802" s="3"/>
      <c r="X1802" s="3"/>
      <c r="Y1802" s="3"/>
      <c r="Z1802" s="3"/>
      <c r="AA1802" s="3"/>
      <c r="AB1802" s="3"/>
    </row>
    <row r="1803" spans="1:28" x14ac:dyDescent="0.3">
      <c r="A1803" s="2"/>
      <c r="F1803" s="3"/>
      <c r="G1803" s="3"/>
      <c r="N1803" s="3"/>
      <c r="Q1803" s="3"/>
      <c r="R1803" s="3"/>
      <c r="S1803" s="3"/>
      <c r="V1803" s="3"/>
      <c r="W1803" s="3"/>
      <c r="X1803" s="3"/>
      <c r="Y1803" s="3"/>
      <c r="Z1803" s="3"/>
      <c r="AA1803" s="3"/>
      <c r="AB1803" s="3"/>
    </row>
    <row r="1804" spans="1:28" x14ac:dyDescent="0.3">
      <c r="A1804" s="2"/>
      <c r="F1804" s="3"/>
      <c r="G1804" s="3"/>
      <c r="N1804" s="3"/>
      <c r="Q1804" s="3"/>
      <c r="R1804" s="3"/>
      <c r="S1804" s="3"/>
      <c r="V1804" s="3"/>
      <c r="W1804" s="3"/>
      <c r="X1804" s="3"/>
      <c r="Y1804" s="3"/>
      <c r="Z1804" s="3"/>
      <c r="AA1804" s="3"/>
      <c r="AB1804" s="3"/>
    </row>
    <row r="1805" spans="1:28" x14ac:dyDescent="0.3">
      <c r="A1805" s="2"/>
      <c r="F1805" s="3"/>
      <c r="G1805" s="3"/>
      <c r="N1805" s="3"/>
      <c r="Q1805" s="3"/>
      <c r="R1805" s="3"/>
      <c r="S1805" s="3"/>
      <c r="V1805" s="3"/>
      <c r="W1805" s="3"/>
      <c r="X1805" s="3"/>
      <c r="Y1805" s="3"/>
      <c r="Z1805" s="3"/>
      <c r="AA1805" s="3"/>
      <c r="AB1805" s="3"/>
    </row>
    <row r="1806" spans="1:28" x14ac:dyDescent="0.3">
      <c r="A1806" s="2"/>
      <c r="F1806" s="3"/>
      <c r="G1806" s="3"/>
      <c r="N1806" s="3"/>
      <c r="Q1806" s="3"/>
      <c r="R1806" s="3"/>
      <c r="S1806" s="3"/>
      <c r="V1806" s="3"/>
      <c r="W1806" s="3"/>
      <c r="X1806" s="3"/>
      <c r="Y1806" s="3"/>
      <c r="Z1806" s="3"/>
      <c r="AA1806" s="3"/>
      <c r="AB1806" s="3"/>
    </row>
    <row r="1807" spans="1:28" x14ac:dyDescent="0.3">
      <c r="A1807" s="2"/>
      <c r="F1807" s="3"/>
      <c r="G1807" s="3"/>
      <c r="N1807" s="3"/>
      <c r="Q1807" s="3"/>
      <c r="R1807" s="3"/>
      <c r="S1807" s="3"/>
      <c r="V1807" s="3"/>
      <c r="W1807" s="3"/>
      <c r="X1807" s="3"/>
      <c r="Y1807" s="3"/>
      <c r="Z1807" s="3"/>
      <c r="AA1807" s="3"/>
      <c r="AB1807" s="3"/>
    </row>
    <row r="1808" spans="1:28" x14ac:dyDescent="0.3">
      <c r="A1808" s="2"/>
      <c r="F1808" s="3"/>
      <c r="G1808" s="3"/>
      <c r="N1808" s="3"/>
      <c r="Q1808" s="3"/>
      <c r="R1808" s="3"/>
      <c r="S1808" s="3"/>
      <c r="V1808" s="3"/>
      <c r="W1808" s="3"/>
      <c r="X1808" s="3"/>
      <c r="Y1808" s="3"/>
      <c r="Z1808" s="3"/>
      <c r="AA1808" s="3"/>
      <c r="AB1808" s="3"/>
    </row>
    <row r="1809" spans="1:28" x14ac:dyDescent="0.3">
      <c r="A1809" s="2"/>
      <c r="F1809" s="3"/>
      <c r="G1809" s="3"/>
      <c r="N1809" s="3"/>
      <c r="Q1809" s="3"/>
      <c r="R1809" s="3"/>
      <c r="S1809" s="3"/>
      <c r="V1809" s="3"/>
      <c r="W1809" s="3"/>
      <c r="X1809" s="3"/>
      <c r="Y1809" s="3"/>
      <c r="Z1809" s="3"/>
      <c r="AA1809" s="3"/>
      <c r="AB1809" s="3"/>
    </row>
    <row r="1810" spans="1:28" x14ac:dyDescent="0.3">
      <c r="A1810" s="2"/>
      <c r="F1810" s="3"/>
      <c r="G1810" s="3"/>
      <c r="N1810" s="3"/>
      <c r="Q1810" s="3"/>
      <c r="R1810" s="3"/>
      <c r="S1810" s="3"/>
      <c r="V1810" s="3"/>
      <c r="W1810" s="3"/>
      <c r="X1810" s="3"/>
      <c r="Y1810" s="3"/>
      <c r="Z1810" s="3"/>
      <c r="AA1810" s="3"/>
      <c r="AB1810" s="3"/>
    </row>
    <row r="1811" spans="1:28" x14ac:dyDescent="0.3">
      <c r="A1811" s="2"/>
      <c r="F1811" s="3"/>
      <c r="G1811" s="3"/>
      <c r="N1811" s="3"/>
      <c r="Q1811" s="3"/>
      <c r="R1811" s="3"/>
      <c r="S1811" s="3"/>
      <c r="V1811" s="3"/>
      <c r="W1811" s="3"/>
      <c r="X1811" s="3"/>
      <c r="Y1811" s="3"/>
      <c r="Z1811" s="3"/>
      <c r="AA1811" s="3"/>
      <c r="AB1811" s="3"/>
    </row>
    <row r="1812" spans="1:28" x14ac:dyDescent="0.3">
      <c r="A1812" s="2"/>
      <c r="F1812" s="3"/>
      <c r="G1812" s="3"/>
      <c r="N1812" s="3"/>
      <c r="Q1812" s="3"/>
      <c r="R1812" s="3"/>
      <c r="S1812" s="3"/>
      <c r="V1812" s="3"/>
      <c r="W1812" s="3"/>
      <c r="X1812" s="3"/>
      <c r="Y1812" s="3"/>
      <c r="Z1812" s="3"/>
      <c r="AA1812" s="3"/>
      <c r="AB1812" s="3"/>
    </row>
    <row r="1813" spans="1:28" x14ac:dyDescent="0.3">
      <c r="A1813" s="2"/>
      <c r="F1813" s="3"/>
      <c r="G1813" s="3"/>
      <c r="N1813" s="3"/>
      <c r="Q1813" s="3"/>
      <c r="R1813" s="3"/>
      <c r="S1813" s="3"/>
      <c r="V1813" s="3"/>
      <c r="W1813" s="3"/>
      <c r="X1813" s="3"/>
      <c r="Y1813" s="3"/>
      <c r="Z1813" s="3"/>
      <c r="AA1813" s="3"/>
      <c r="AB1813" s="3"/>
    </row>
    <row r="1814" spans="1:28" x14ac:dyDescent="0.3">
      <c r="A1814" s="2"/>
      <c r="F1814" s="3"/>
      <c r="G1814" s="3"/>
      <c r="N1814" s="3"/>
      <c r="Q1814" s="3"/>
      <c r="R1814" s="3"/>
      <c r="S1814" s="3"/>
      <c r="V1814" s="3"/>
      <c r="W1814" s="3"/>
      <c r="X1814" s="3"/>
      <c r="Y1814" s="3"/>
      <c r="Z1814" s="3"/>
      <c r="AA1814" s="3"/>
      <c r="AB1814" s="3"/>
    </row>
    <row r="1815" spans="1:28" x14ac:dyDescent="0.3">
      <c r="A1815" s="2"/>
      <c r="F1815" s="3"/>
      <c r="G1815" s="3"/>
      <c r="N1815" s="3"/>
      <c r="Q1815" s="3"/>
      <c r="R1815" s="3"/>
      <c r="S1815" s="3"/>
      <c r="V1815" s="3"/>
      <c r="W1815" s="3"/>
      <c r="X1815" s="3"/>
      <c r="Y1815" s="3"/>
      <c r="Z1815" s="3"/>
      <c r="AA1815" s="3"/>
      <c r="AB1815" s="3"/>
    </row>
    <row r="1816" spans="1:28" x14ac:dyDescent="0.3">
      <c r="A1816" s="2"/>
      <c r="F1816" s="3"/>
      <c r="G1816" s="3"/>
      <c r="N1816" s="3"/>
      <c r="Q1816" s="3"/>
      <c r="R1816" s="3"/>
      <c r="S1816" s="3"/>
      <c r="V1816" s="3"/>
      <c r="W1816" s="3"/>
      <c r="X1816" s="3"/>
      <c r="Y1816" s="3"/>
      <c r="Z1816" s="3"/>
      <c r="AA1816" s="3"/>
      <c r="AB1816" s="3"/>
    </row>
    <row r="1817" spans="1:28" x14ac:dyDescent="0.3">
      <c r="A1817" s="2"/>
      <c r="F1817" s="3"/>
      <c r="G1817" s="3"/>
      <c r="N1817" s="3"/>
      <c r="Q1817" s="3"/>
      <c r="R1817" s="3"/>
      <c r="S1817" s="3"/>
      <c r="V1817" s="3"/>
      <c r="W1817" s="3"/>
      <c r="X1817" s="3"/>
      <c r="Y1817" s="3"/>
      <c r="Z1817" s="3"/>
      <c r="AA1817" s="3"/>
      <c r="AB1817" s="3"/>
    </row>
    <row r="1818" spans="1:28" x14ac:dyDescent="0.3">
      <c r="A1818" s="2"/>
      <c r="F1818" s="3"/>
      <c r="G1818" s="3"/>
      <c r="N1818" s="3"/>
      <c r="Q1818" s="3"/>
      <c r="R1818" s="3"/>
      <c r="S1818" s="3"/>
      <c r="V1818" s="3"/>
      <c r="W1818" s="3"/>
      <c r="X1818" s="3"/>
      <c r="Y1818" s="3"/>
      <c r="Z1818" s="3"/>
      <c r="AA1818" s="3"/>
      <c r="AB1818" s="3"/>
    </row>
    <row r="1819" spans="1:28" x14ac:dyDescent="0.3">
      <c r="A1819" s="2"/>
      <c r="F1819" s="3"/>
      <c r="G1819" s="3"/>
      <c r="N1819" s="3"/>
      <c r="Q1819" s="3"/>
      <c r="R1819" s="3"/>
      <c r="S1819" s="3"/>
      <c r="V1819" s="3"/>
      <c r="W1819" s="3"/>
      <c r="X1819" s="3"/>
      <c r="Y1819" s="3"/>
      <c r="Z1819" s="3"/>
      <c r="AA1819" s="3"/>
      <c r="AB1819" s="3"/>
    </row>
    <row r="1820" spans="1:28" x14ac:dyDescent="0.3">
      <c r="A1820" s="2"/>
      <c r="F1820" s="3"/>
      <c r="G1820" s="3"/>
      <c r="N1820" s="3"/>
      <c r="Q1820" s="3"/>
      <c r="R1820" s="3"/>
      <c r="S1820" s="3"/>
      <c r="V1820" s="3"/>
      <c r="W1820" s="3"/>
      <c r="X1820" s="3"/>
      <c r="Y1820" s="3"/>
      <c r="Z1820" s="3"/>
      <c r="AA1820" s="3"/>
      <c r="AB1820" s="3"/>
    </row>
    <row r="1821" spans="1:28" x14ac:dyDescent="0.3">
      <c r="A1821" s="2"/>
      <c r="F1821" s="3"/>
      <c r="G1821" s="3"/>
      <c r="N1821" s="3"/>
      <c r="Q1821" s="3"/>
      <c r="R1821" s="3"/>
      <c r="S1821" s="3"/>
      <c r="V1821" s="3"/>
      <c r="W1821" s="3"/>
      <c r="X1821" s="3"/>
      <c r="Y1821" s="3"/>
      <c r="Z1821" s="3"/>
      <c r="AA1821" s="3"/>
      <c r="AB1821" s="3"/>
    </row>
    <row r="1822" spans="1:28" x14ac:dyDescent="0.3">
      <c r="A1822" s="2"/>
      <c r="F1822" s="3"/>
      <c r="G1822" s="3"/>
      <c r="N1822" s="3"/>
      <c r="Q1822" s="3"/>
      <c r="R1822" s="3"/>
      <c r="S1822" s="3"/>
      <c r="V1822" s="3"/>
      <c r="W1822" s="3"/>
      <c r="X1822" s="3"/>
      <c r="Y1822" s="3"/>
      <c r="Z1822" s="3"/>
      <c r="AA1822" s="3"/>
      <c r="AB1822" s="3"/>
    </row>
    <row r="1823" spans="1:28" x14ac:dyDescent="0.3">
      <c r="A1823" s="2"/>
      <c r="F1823" s="3"/>
      <c r="G1823" s="3"/>
      <c r="N1823" s="3"/>
      <c r="Q1823" s="3"/>
      <c r="R1823" s="3"/>
      <c r="S1823" s="3"/>
      <c r="V1823" s="3"/>
      <c r="W1823" s="3"/>
      <c r="X1823" s="3"/>
      <c r="Y1823" s="3"/>
      <c r="Z1823" s="3"/>
      <c r="AA1823" s="3"/>
      <c r="AB1823" s="3"/>
    </row>
    <row r="1824" spans="1:28" x14ac:dyDescent="0.3">
      <c r="A1824" s="2"/>
      <c r="F1824" s="3"/>
      <c r="G1824" s="3"/>
      <c r="N1824" s="3"/>
      <c r="Q1824" s="3"/>
      <c r="R1824" s="3"/>
      <c r="S1824" s="3"/>
      <c r="V1824" s="3"/>
      <c r="W1824" s="3"/>
      <c r="X1824" s="3"/>
      <c r="Y1824" s="3"/>
      <c r="Z1824" s="3"/>
      <c r="AA1824" s="3"/>
      <c r="AB1824" s="3"/>
    </row>
    <row r="1825" spans="1:28" x14ac:dyDescent="0.3">
      <c r="A1825" s="2"/>
      <c r="F1825" s="3"/>
      <c r="G1825" s="3"/>
      <c r="N1825" s="3"/>
      <c r="Q1825" s="3"/>
      <c r="R1825" s="3"/>
      <c r="S1825" s="3"/>
      <c r="V1825" s="3"/>
      <c r="W1825" s="3"/>
      <c r="X1825" s="3"/>
      <c r="Y1825" s="3"/>
      <c r="Z1825" s="3"/>
      <c r="AA1825" s="3"/>
      <c r="AB1825" s="3"/>
    </row>
    <row r="1826" spans="1:28" x14ac:dyDescent="0.3">
      <c r="A1826" s="2"/>
      <c r="F1826" s="3"/>
      <c r="G1826" s="3"/>
      <c r="N1826" s="3"/>
      <c r="Q1826" s="3"/>
      <c r="R1826" s="3"/>
      <c r="S1826" s="3"/>
      <c r="V1826" s="3"/>
      <c r="W1826" s="3"/>
      <c r="X1826" s="3"/>
      <c r="Y1826" s="3"/>
      <c r="Z1826" s="3"/>
      <c r="AA1826" s="3"/>
      <c r="AB1826" s="3"/>
    </row>
    <row r="1827" spans="1:28" x14ac:dyDescent="0.3">
      <c r="A1827" s="2"/>
      <c r="F1827" s="3"/>
      <c r="G1827" s="3"/>
      <c r="N1827" s="3"/>
      <c r="Q1827" s="3"/>
      <c r="R1827" s="3"/>
      <c r="S1827" s="3"/>
      <c r="V1827" s="3"/>
      <c r="W1827" s="3"/>
      <c r="X1827" s="3"/>
      <c r="Y1827" s="3"/>
      <c r="Z1827" s="3"/>
      <c r="AA1827" s="3"/>
      <c r="AB1827" s="3"/>
    </row>
    <row r="1828" spans="1:28" x14ac:dyDescent="0.3">
      <c r="A1828" s="2"/>
      <c r="F1828" s="3"/>
      <c r="G1828" s="3"/>
      <c r="N1828" s="3"/>
      <c r="Q1828" s="3"/>
      <c r="R1828" s="3"/>
      <c r="S1828" s="3"/>
      <c r="V1828" s="3"/>
      <c r="W1828" s="3"/>
      <c r="X1828" s="3"/>
      <c r="Y1828" s="3"/>
      <c r="Z1828" s="3"/>
      <c r="AA1828" s="3"/>
      <c r="AB1828" s="3"/>
    </row>
    <row r="1829" spans="1:28" x14ac:dyDescent="0.3">
      <c r="A1829" s="2"/>
      <c r="F1829" s="3"/>
      <c r="G1829" s="3"/>
      <c r="N1829" s="3"/>
      <c r="Q1829" s="3"/>
      <c r="R1829" s="3"/>
      <c r="S1829" s="3"/>
      <c r="V1829" s="3"/>
      <c r="W1829" s="3"/>
      <c r="X1829" s="3"/>
      <c r="Y1829" s="3"/>
      <c r="Z1829" s="3"/>
      <c r="AA1829" s="3"/>
      <c r="AB1829" s="3"/>
    </row>
    <row r="1830" spans="1:28" x14ac:dyDescent="0.3">
      <c r="A1830" s="2"/>
      <c r="F1830" s="3"/>
      <c r="G1830" s="3"/>
      <c r="N1830" s="3"/>
      <c r="Q1830" s="3"/>
      <c r="R1830" s="3"/>
      <c r="S1830" s="3"/>
      <c r="V1830" s="3"/>
      <c r="W1830" s="3"/>
      <c r="X1830" s="3"/>
      <c r="Y1830" s="3"/>
      <c r="Z1830" s="3"/>
      <c r="AA1830" s="3"/>
      <c r="AB1830" s="3"/>
    </row>
    <row r="1831" spans="1:28" x14ac:dyDescent="0.3">
      <c r="A1831" s="2"/>
      <c r="F1831" s="3"/>
      <c r="G1831" s="3"/>
      <c r="N1831" s="3"/>
      <c r="Q1831" s="3"/>
      <c r="R1831" s="3"/>
      <c r="S1831" s="3"/>
      <c r="V1831" s="3"/>
      <c r="W1831" s="3"/>
      <c r="X1831" s="3"/>
      <c r="Y1831" s="3"/>
      <c r="Z1831" s="3"/>
      <c r="AA1831" s="3"/>
      <c r="AB1831" s="3"/>
    </row>
    <row r="1832" spans="1:28" x14ac:dyDescent="0.3">
      <c r="A1832" s="2"/>
      <c r="F1832" s="3"/>
      <c r="G1832" s="3"/>
      <c r="N1832" s="3"/>
      <c r="Q1832" s="3"/>
      <c r="R1832" s="3"/>
      <c r="S1832" s="3"/>
      <c r="V1832" s="3"/>
      <c r="W1832" s="3"/>
      <c r="X1832" s="3"/>
      <c r="Y1832" s="3"/>
      <c r="Z1832" s="3"/>
      <c r="AA1832" s="3"/>
      <c r="AB1832" s="3"/>
    </row>
    <row r="1833" spans="1:28" x14ac:dyDescent="0.3">
      <c r="A1833" s="2"/>
      <c r="F1833" s="3"/>
      <c r="G1833" s="3"/>
      <c r="N1833" s="3"/>
      <c r="Q1833" s="3"/>
      <c r="R1833" s="3"/>
      <c r="S1833" s="3"/>
      <c r="V1833" s="3"/>
      <c r="W1833" s="3"/>
      <c r="X1833" s="3"/>
      <c r="Y1833" s="3"/>
      <c r="Z1833" s="3"/>
      <c r="AA1833" s="3"/>
      <c r="AB1833" s="3"/>
    </row>
    <row r="1834" spans="1:28" x14ac:dyDescent="0.3">
      <c r="A1834" s="2"/>
      <c r="F1834" s="3"/>
      <c r="G1834" s="3"/>
      <c r="N1834" s="3"/>
      <c r="Q1834" s="3"/>
      <c r="R1834" s="3"/>
      <c r="S1834" s="3"/>
      <c r="V1834" s="3"/>
      <c r="W1834" s="3"/>
      <c r="X1834" s="3"/>
      <c r="Y1834" s="3"/>
      <c r="Z1834" s="3"/>
      <c r="AA1834" s="3"/>
      <c r="AB1834" s="3"/>
    </row>
    <row r="1835" spans="1:28" x14ac:dyDescent="0.3">
      <c r="A1835" s="2"/>
      <c r="F1835" s="3"/>
      <c r="G1835" s="3"/>
      <c r="N1835" s="3"/>
      <c r="Q1835" s="3"/>
      <c r="R1835" s="3"/>
      <c r="S1835" s="3"/>
      <c r="V1835" s="3"/>
      <c r="W1835" s="3"/>
      <c r="X1835" s="3"/>
      <c r="Y1835" s="3"/>
      <c r="Z1835" s="3"/>
      <c r="AA1835" s="3"/>
      <c r="AB1835" s="3"/>
    </row>
    <row r="1836" spans="1:28" x14ac:dyDescent="0.3">
      <c r="A1836" s="2"/>
      <c r="F1836" s="3"/>
      <c r="G1836" s="3"/>
      <c r="N1836" s="3"/>
      <c r="Q1836" s="3"/>
      <c r="R1836" s="3"/>
      <c r="S1836" s="3"/>
      <c r="V1836" s="3"/>
      <c r="W1836" s="3"/>
      <c r="X1836" s="3"/>
      <c r="Y1836" s="3"/>
      <c r="Z1836" s="3"/>
      <c r="AA1836" s="3"/>
      <c r="AB1836" s="3"/>
    </row>
    <row r="1837" spans="1:28" x14ac:dyDescent="0.3">
      <c r="A1837" s="2"/>
      <c r="F1837" s="3"/>
      <c r="G1837" s="3"/>
      <c r="N1837" s="3"/>
      <c r="Q1837" s="3"/>
      <c r="R1837" s="3"/>
      <c r="S1837" s="3"/>
      <c r="V1837" s="3"/>
      <c r="W1837" s="3"/>
      <c r="X1837" s="3"/>
      <c r="Y1837" s="3"/>
      <c r="Z1837" s="3"/>
      <c r="AA1837" s="3"/>
      <c r="AB1837" s="3"/>
    </row>
    <row r="1838" spans="1:28" x14ac:dyDescent="0.3">
      <c r="A1838" s="2"/>
      <c r="F1838" s="3"/>
      <c r="G1838" s="3"/>
      <c r="N1838" s="3"/>
      <c r="Q1838" s="3"/>
      <c r="R1838" s="3"/>
      <c r="S1838" s="3"/>
      <c r="V1838" s="3"/>
      <c r="W1838" s="3"/>
      <c r="X1838" s="3"/>
      <c r="Y1838" s="3"/>
      <c r="Z1838" s="3"/>
      <c r="AA1838" s="3"/>
      <c r="AB1838" s="3"/>
    </row>
    <row r="1839" spans="1:28" x14ac:dyDescent="0.3">
      <c r="A1839" s="2"/>
      <c r="F1839" s="3"/>
      <c r="G1839" s="3"/>
      <c r="N1839" s="3"/>
      <c r="Q1839" s="3"/>
      <c r="R1839" s="3"/>
      <c r="S1839" s="3"/>
      <c r="V1839" s="3"/>
      <c r="W1839" s="3"/>
      <c r="X1839" s="3"/>
      <c r="Y1839" s="3"/>
      <c r="Z1839" s="3"/>
      <c r="AA1839" s="3"/>
      <c r="AB1839" s="3"/>
    </row>
    <row r="1840" spans="1:28" x14ac:dyDescent="0.3">
      <c r="A1840" s="2"/>
      <c r="F1840" s="3"/>
      <c r="G1840" s="3"/>
      <c r="N1840" s="3"/>
      <c r="Q1840" s="3"/>
      <c r="R1840" s="3"/>
      <c r="S1840" s="3"/>
      <c r="V1840" s="3"/>
      <c r="W1840" s="3"/>
      <c r="X1840" s="3"/>
      <c r="Y1840" s="3"/>
      <c r="Z1840" s="3"/>
      <c r="AA1840" s="3"/>
      <c r="AB1840" s="3"/>
    </row>
    <row r="1841" spans="1:28" x14ac:dyDescent="0.3">
      <c r="A1841" s="2"/>
      <c r="F1841" s="3"/>
      <c r="G1841" s="3"/>
      <c r="N1841" s="3"/>
      <c r="Q1841" s="3"/>
      <c r="R1841" s="3"/>
      <c r="S1841" s="3"/>
      <c r="V1841" s="3"/>
      <c r="W1841" s="3"/>
      <c r="X1841" s="3"/>
      <c r="Y1841" s="3"/>
      <c r="Z1841" s="3"/>
      <c r="AA1841" s="3"/>
      <c r="AB1841" s="3"/>
    </row>
    <row r="1842" spans="1:28" x14ac:dyDescent="0.3">
      <c r="A1842" s="2"/>
      <c r="F1842" s="3"/>
      <c r="G1842" s="3"/>
      <c r="N1842" s="3"/>
      <c r="Q1842" s="3"/>
      <c r="R1842" s="3"/>
      <c r="S1842" s="3"/>
      <c r="V1842" s="3"/>
      <c r="W1842" s="3"/>
      <c r="X1842" s="3"/>
      <c r="Y1842" s="3"/>
      <c r="Z1842" s="3"/>
      <c r="AA1842" s="3"/>
      <c r="AB1842" s="3"/>
    </row>
    <row r="1843" spans="1:28" x14ac:dyDescent="0.3">
      <c r="A1843" s="2"/>
      <c r="F1843" s="3"/>
      <c r="G1843" s="3"/>
      <c r="N1843" s="3"/>
      <c r="Q1843" s="3"/>
      <c r="R1843" s="3"/>
      <c r="S1843" s="3"/>
      <c r="V1843" s="3"/>
      <c r="W1843" s="3"/>
      <c r="X1843" s="3"/>
      <c r="Y1843" s="3"/>
      <c r="Z1843" s="3"/>
      <c r="AA1843" s="3"/>
      <c r="AB1843" s="3"/>
    </row>
    <row r="1844" spans="1:28" x14ac:dyDescent="0.3">
      <c r="A1844" s="2"/>
      <c r="F1844" s="3"/>
      <c r="G1844" s="3"/>
      <c r="N1844" s="3"/>
      <c r="Q1844" s="3"/>
      <c r="R1844" s="3"/>
      <c r="S1844" s="3"/>
      <c r="V1844" s="3"/>
      <c r="W1844" s="3"/>
      <c r="X1844" s="3"/>
      <c r="Y1844" s="3"/>
      <c r="Z1844" s="3"/>
      <c r="AA1844" s="3"/>
      <c r="AB1844" s="3"/>
    </row>
    <row r="1845" spans="1:28" x14ac:dyDescent="0.3">
      <c r="A1845" s="2"/>
      <c r="F1845" s="3"/>
      <c r="G1845" s="3"/>
      <c r="N1845" s="3"/>
      <c r="Q1845" s="3"/>
      <c r="R1845" s="3"/>
      <c r="S1845" s="3"/>
      <c r="V1845" s="3"/>
      <c r="W1845" s="3"/>
      <c r="X1845" s="3"/>
      <c r="Y1845" s="3"/>
      <c r="Z1845" s="3"/>
      <c r="AA1845" s="3"/>
      <c r="AB1845" s="3"/>
    </row>
    <row r="1846" spans="1:28" x14ac:dyDescent="0.3">
      <c r="A1846" s="2"/>
      <c r="F1846" s="3"/>
      <c r="G1846" s="3"/>
      <c r="N1846" s="3"/>
      <c r="Q1846" s="3"/>
      <c r="R1846" s="3"/>
      <c r="S1846" s="3"/>
      <c r="V1846" s="3"/>
      <c r="W1846" s="3"/>
      <c r="X1846" s="3"/>
      <c r="Y1846" s="3"/>
      <c r="Z1846" s="3"/>
      <c r="AA1846" s="3"/>
      <c r="AB1846" s="3"/>
    </row>
    <row r="1847" spans="1:28" x14ac:dyDescent="0.3">
      <c r="A1847" s="2"/>
      <c r="F1847" s="3"/>
      <c r="G1847" s="3"/>
      <c r="N1847" s="3"/>
      <c r="Q1847" s="3"/>
      <c r="R1847" s="3"/>
      <c r="S1847" s="3"/>
      <c r="V1847" s="3"/>
      <c r="W1847" s="3"/>
      <c r="X1847" s="3"/>
      <c r="Y1847" s="3"/>
      <c r="Z1847" s="3"/>
      <c r="AA1847" s="3"/>
      <c r="AB1847" s="3"/>
    </row>
    <row r="1848" spans="1:28" x14ac:dyDescent="0.3">
      <c r="A1848" s="2"/>
      <c r="F1848" s="3"/>
      <c r="G1848" s="3"/>
      <c r="N1848" s="3"/>
      <c r="Q1848" s="3"/>
      <c r="R1848" s="3"/>
      <c r="S1848" s="3"/>
      <c r="V1848" s="3"/>
      <c r="W1848" s="3"/>
      <c r="X1848" s="3"/>
      <c r="Y1848" s="3"/>
      <c r="Z1848" s="3"/>
      <c r="AA1848" s="3"/>
      <c r="AB1848" s="3"/>
    </row>
    <row r="1849" spans="1:28" x14ac:dyDescent="0.3">
      <c r="A1849" s="2"/>
      <c r="F1849" s="3"/>
      <c r="G1849" s="3"/>
      <c r="N1849" s="3"/>
      <c r="Q1849" s="3"/>
      <c r="R1849" s="3"/>
      <c r="S1849" s="3"/>
      <c r="V1849" s="3"/>
      <c r="W1849" s="3"/>
      <c r="X1849" s="3"/>
      <c r="Y1849" s="3"/>
      <c r="Z1849" s="3"/>
      <c r="AA1849" s="3"/>
      <c r="AB1849" s="3"/>
    </row>
    <row r="1850" spans="1:28" x14ac:dyDescent="0.3">
      <c r="A1850" s="2"/>
      <c r="F1850" s="3"/>
      <c r="G1850" s="3"/>
      <c r="N1850" s="3"/>
      <c r="Q1850" s="3"/>
      <c r="R1850" s="3"/>
      <c r="S1850" s="3"/>
      <c r="V1850" s="3"/>
      <c r="W1850" s="3"/>
      <c r="X1850" s="3"/>
      <c r="Y1850" s="3"/>
      <c r="Z1850" s="3"/>
      <c r="AA1850" s="3"/>
      <c r="AB1850" s="3"/>
    </row>
    <row r="1851" spans="1:28" x14ac:dyDescent="0.3">
      <c r="A1851" s="2"/>
      <c r="F1851" s="3"/>
      <c r="G1851" s="3"/>
      <c r="N1851" s="3"/>
      <c r="Q1851" s="3"/>
      <c r="R1851" s="3"/>
      <c r="S1851" s="3"/>
      <c r="V1851" s="3"/>
      <c r="W1851" s="3"/>
      <c r="X1851" s="3"/>
      <c r="Y1851" s="3"/>
      <c r="Z1851" s="3"/>
      <c r="AA1851" s="3"/>
      <c r="AB1851" s="3"/>
    </row>
    <row r="1852" spans="1:28" x14ac:dyDescent="0.3">
      <c r="A1852" s="2"/>
      <c r="F1852" s="3"/>
      <c r="G1852" s="3"/>
      <c r="N1852" s="3"/>
      <c r="Q1852" s="3"/>
      <c r="R1852" s="3"/>
      <c r="S1852" s="3"/>
      <c r="V1852" s="3"/>
      <c r="W1852" s="3"/>
      <c r="X1852" s="3"/>
      <c r="Y1852" s="3"/>
      <c r="Z1852" s="3"/>
      <c r="AA1852" s="3"/>
      <c r="AB1852" s="3"/>
    </row>
    <row r="1853" spans="1:28" x14ac:dyDescent="0.3">
      <c r="A1853" s="2"/>
      <c r="F1853" s="3"/>
      <c r="G1853" s="3"/>
      <c r="N1853" s="3"/>
      <c r="Q1853" s="3"/>
      <c r="R1853" s="3"/>
      <c r="S1853" s="3"/>
      <c r="V1853" s="3"/>
      <c r="W1853" s="3"/>
      <c r="X1853" s="3"/>
      <c r="Y1853" s="3"/>
      <c r="Z1853" s="3"/>
      <c r="AA1853" s="3"/>
      <c r="AB1853" s="3"/>
    </row>
    <row r="1854" spans="1:28" x14ac:dyDescent="0.3">
      <c r="A1854" s="2"/>
      <c r="F1854" s="3"/>
      <c r="G1854" s="3"/>
      <c r="N1854" s="3"/>
      <c r="Q1854" s="3"/>
      <c r="R1854" s="3"/>
      <c r="S1854" s="3"/>
      <c r="V1854" s="3"/>
      <c r="W1854" s="3"/>
      <c r="X1854" s="3"/>
      <c r="Y1854" s="3"/>
      <c r="Z1854" s="3"/>
      <c r="AA1854" s="3"/>
      <c r="AB1854" s="3"/>
    </row>
    <row r="1855" spans="1:28" x14ac:dyDescent="0.3">
      <c r="A1855" s="2"/>
      <c r="F1855" s="3"/>
      <c r="G1855" s="3"/>
      <c r="N1855" s="3"/>
      <c r="Q1855" s="3"/>
      <c r="R1855" s="3"/>
      <c r="S1855" s="3"/>
      <c r="V1855" s="3"/>
      <c r="W1855" s="3"/>
      <c r="X1855" s="3"/>
      <c r="Y1855" s="3"/>
      <c r="Z1855" s="3"/>
      <c r="AA1855" s="3"/>
      <c r="AB1855" s="3"/>
    </row>
    <row r="1856" spans="1:28" x14ac:dyDescent="0.3">
      <c r="A1856" s="2"/>
      <c r="F1856" s="3"/>
      <c r="G1856" s="3"/>
      <c r="N1856" s="3"/>
      <c r="Q1856" s="3"/>
      <c r="R1856" s="3"/>
      <c r="S1856" s="3"/>
      <c r="V1856" s="3"/>
      <c r="W1856" s="3"/>
      <c r="X1856" s="3"/>
      <c r="Y1856" s="3"/>
      <c r="Z1856" s="3"/>
      <c r="AA1856" s="3"/>
      <c r="AB1856" s="3"/>
    </row>
    <row r="1857" spans="1:28" x14ac:dyDescent="0.3">
      <c r="A1857" s="2"/>
      <c r="F1857" s="3"/>
      <c r="G1857" s="3"/>
      <c r="N1857" s="3"/>
      <c r="Q1857" s="3"/>
      <c r="R1857" s="3"/>
      <c r="S1857" s="3"/>
      <c r="V1857" s="3"/>
      <c r="W1857" s="3"/>
      <c r="X1857" s="3"/>
      <c r="Y1857" s="3"/>
      <c r="Z1857" s="3"/>
      <c r="AA1857" s="3"/>
      <c r="AB1857" s="3"/>
    </row>
    <row r="1858" spans="1:28" x14ac:dyDescent="0.3">
      <c r="A1858" s="2"/>
      <c r="F1858" s="3"/>
      <c r="G1858" s="3"/>
      <c r="N1858" s="3"/>
      <c r="Q1858" s="3"/>
      <c r="R1858" s="3"/>
      <c r="S1858" s="3"/>
      <c r="V1858" s="3"/>
      <c r="W1858" s="3"/>
      <c r="X1858" s="3"/>
      <c r="Y1858" s="3"/>
      <c r="Z1858" s="3"/>
      <c r="AA1858" s="3"/>
      <c r="AB1858" s="3"/>
    </row>
    <row r="1859" spans="1:28" x14ac:dyDescent="0.3">
      <c r="A1859" s="2"/>
      <c r="F1859" s="3"/>
      <c r="G1859" s="3"/>
      <c r="N1859" s="3"/>
      <c r="Q1859" s="3"/>
      <c r="R1859" s="3"/>
      <c r="S1859" s="3"/>
      <c r="V1859" s="3"/>
      <c r="W1859" s="3"/>
      <c r="X1859" s="3"/>
      <c r="Y1859" s="3"/>
      <c r="Z1859" s="3"/>
      <c r="AA1859" s="3"/>
      <c r="AB1859" s="3"/>
    </row>
    <row r="1860" spans="1:28" x14ac:dyDescent="0.3">
      <c r="A1860" s="2"/>
      <c r="F1860" s="3"/>
      <c r="G1860" s="3"/>
      <c r="N1860" s="3"/>
      <c r="Q1860" s="3"/>
      <c r="R1860" s="3"/>
      <c r="S1860" s="3"/>
      <c r="V1860" s="3"/>
      <c r="W1860" s="3"/>
      <c r="X1860" s="3"/>
      <c r="Y1860" s="3"/>
      <c r="Z1860" s="3"/>
      <c r="AA1860" s="3"/>
      <c r="AB1860" s="3"/>
    </row>
    <row r="1861" spans="1:28" x14ac:dyDescent="0.3">
      <c r="A1861" s="2"/>
      <c r="F1861" s="3"/>
      <c r="G1861" s="3"/>
      <c r="N1861" s="3"/>
      <c r="Q1861" s="3"/>
      <c r="R1861" s="3"/>
      <c r="S1861" s="3"/>
      <c r="V1861" s="3"/>
      <c r="W1861" s="3"/>
      <c r="X1861" s="3"/>
      <c r="Y1861" s="3"/>
      <c r="Z1861" s="3"/>
      <c r="AA1861" s="3"/>
      <c r="AB1861" s="3"/>
    </row>
    <row r="1862" spans="1:28" x14ac:dyDescent="0.3">
      <c r="A1862" s="2"/>
      <c r="F1862" s="3"/>
      <c r="G1862" s="3"/>
      <c r="N1862" s="3"/>
      <c r="Q1862" s="3"/>
      <c r="R1862" s="3"/>
      <c r="S1862" s="3"/>
      <c r="V1862" s="3"/>
      <c r="W1862" s="3"/>
      <c r="X1862" s="3"/>
      <c r="Y1862" s="3"/>
      <c r="Z1862" s="3"/>
      <c r="AA1862" s="3"/>
      <c r="AB1862" s="3"/>
    </row>
    <row r="1863" spans="1:28" x14ac:dyDescent="0.3">
      <c r="A1863" s="2"/>
      <c r="F1863" s="3"/>
      <c r="G1863" s="3"/>
      <c r="N1863" s="3"/>
      <c r="Q1863" s="3"/>
      <c r="R1863" s="3"/>
      <c r="S1863" s="3"/>
      <c r="V1863" s="3"/>
      <c r="W1863" s="3"/>
      <c r="X1863" s="3"/>
      <c r="Y1863" s="3"/>
      <c r="Z1863" s="3"/>
      <c r="AA1863" s="3"/>
      <c r="AB1863" s="3"/>
    </row>
    <row r="1864" spans="1:28" x14ac:dyDescent="0.3">
      <c r="A1864" s="2"/>
      <c r="F1864" s="3"/>
      <c r="G1864" s="3"/>
      <c r="N1864" s="3"/>
      <c r="Q1864" s="3"/>
      <c r="R1864" s="3"/>
      <c r="S1864" s="3"/>
      <c r="V1864" s="3"/>
      <c r="W1864" s="3"/>
      <c r="X1864" s="3"/>
      <c r="Y1864" s="3"/>
      <c r="Z1864" s="3"/>
      <c r="AA1864" s="3"/>
      <c r="AB1864" s="3"/>
    </row>
    <row r="1865" spans="1:28" x14ac:dyDescent="0.3">
      <c r="A1865" s="2"/>
      <c r="F1865" s="3"/>
      <c r="G1865" s="3"/>
      <c r="N1865" s="3"/>
      <c r="Q1865" s="3"/>
      <c r="R1865" s="3"/>
      <c r="S1865" s="3"/>
      <c r="V1865" s="3"/>
      <c r="W1865" s="3"/>
      <c r="X1865" s="3"/>
      <c r="Y1865" s="3"/>
      <c r="Z1865" s="3"/>
      <c r="AA1865" s="3"/>
      <c r="AB1865" s="3"/>
    </row>
    <row r="1866" spans="1:28" x14ac:dyDescent="0.3">
      <c r="A1866" s="2"/>
      <c r="F1866" s="3"/>
      <c r="G1866" s="3"/>
      <c r="N1866" s="3"/>
      <c r="Q1866" s="3"/>
      <c r="R1866" s="3"/>
      <c r="S1866" s="3"/>
      <c r="V1866" s="3"/>
      <c r="W1866" s="3"/>
      <c r="X1866" s="3"/>
      <c r="Y1866" s="3"/>
      <c r="Z1866" s="3"/>
      <c r="AA1866" s="3"/>
      <c r="AB1866" s="3"/>
    </row>
    <row r="1867" spans="1:28" x14ac:dyDescent="0.3">
      <c r="A1867" s="2"/>
      <c r="F1867" s="3"/>
      <c r="G1867" s="3"/>
      <c r="N1867" s="3"/>
      <c r="Q1867" s="3"/>
      <c r="R1867" s="3"/>
      <c r="S1867" s="3"/>
      <c r="V1867" s="3"/>
      <c r="W1867" s="3"/>
      <c r="X1867" s="3"/>
      <c r="Y1867" s="3"/>
      <c r="Z1867" s="3"/>
      <c r="AA1867" s="3"/>
      <c r="AB1867" s="3"/>
    </row>
    <row r="1868" spans="1:28" x14ac:dyDescent="0.3">
      <c r="A1868" s="2"/>
      <c r="F1868" s="3"/>
      <c r="G1868" s="3"/>
      <c r="N1868" s="3"/>
      <c r="Q1868" s="3"/>
      <c r="R1868" s="3"/>
      <c r="S1868" s="3"/>
      <c r="V1868" s="3"/>
      <c r="W1868" s="3"/>
      <c r="X1868" s="3"/>
      <c r="Y1868" s="3"/>
      <c r="Z1868" s="3"/>
      <c r="AA1868" s="3"/>
      <c r="AB1868" s="3"/>
    </row>
    <row r="1869" spans="1:28" x14ac:dyDescent="0.3">
      <c r="A1869" s="2"/>
      <c r="F1869" s="3"/>
      <c r="G1869" s="3"/>
      <c r="N1869" s="3"/>
      <c r="Q1869" s="3"/>
      <c r="R1869" s="3"/>
      <c r="S1869" s="3"/>
      <c r="V1869" s="3"/>
      <c r="W1869" s="3"/>
      <c r="X1869" s="3"/>
      <c r="Y1869" s="3"/>
      <c r="Z1869" s="3"/>
      <c r="AA1869" s="3"/>
      <c r="AB1869" s="3"/>
    </row>
    <row r="1870" spans="1:28" x14ac:dyDescent="0.3">
      <c r="A1870" s="2"/>
      <c r="F1870" s="3"/>
      <c r="G1870" s="3"/>
      <c r="N1870" s="3"/>
      <c r="Q1870" s="3"/>
      <c r="R1870" s="3"/>
      <c r="S1870" s="3"/>
      <c r="V1870" s="3"/>
      <c r="W1870" s="3"/>
      <c r="X1870" s="3"/>
      <c r="Y1870" s="3"/>
      <c r="Z1870" s="3"/>
      <c r="AA1870" s="3"/>
      <c r="AB1870" s="3"/>
    </row>
    <row r="1871" spans="1:28" x14ac:dyDescent="0.3">
      <c r="A1871" s="2"/>
      <c r="F1871" s="3"/>
      <c r="G1871" s="3"/>
      <c r="N1871" s="3"/>
      <c r="Q1871" s="3"/>
      <c r="R1871" s="3"/>
      <c r="S1871" s="3"/>
      <c r="V1871" s="3"/>
      <c r="W1871" s="3"/>
      <c r="X1871" s="3"/>
      <c r="Y1871" s="3"/>
      <c r="Z1871" s="3"/>
      <c r="AA1871" s="3"/>
      <c r="AB1871" s="3"/>
    </row>
    <row r="1872" spans="1:28" x14ac:dyDescent="0.3">
      <c r="A1872" s="2"/>
      <c r="F1872" s="3"/>
      <c r="G1872" s="3"/>
      <c r="N1872" s="3"/>
      <c r="Q1872" s="3"/>
      <c r="R1872" s="3"/>
      <c r="S1872" s="3"/>
      <c r="V1872" s="3"/>
      <c r="W1872" s="3"/>
      <c r="X1872" s="3"/>
      <c r="Y1872" s="3"/>
      <c r="Z1872" s="3"/>
      <c r="AA1872" s="3"/>
      <c r="AB1872" s="3"/>
    </row>
    <row r="1873" spans="1:28" x14ac:dyDescent="0.3">
      <c r="A1873" s="2"/>
      <c r="F1873" s="3"/>
      <c r="G1873" s="3"/>
      <c r="N1873" s="3"/>
      <c r="Q1873" s="3"/>
      <c r="R1873" s="3"/>
      <c r="S1873" s="3"/>
      <c r="V1873" s="3"/>
      <c r="W1873" s="3"/>
      <c r="X1873" s="3"/>
      <c r="Y1873" s="3"/>
      <c r="Z1873" s="3"/>
      <c r="AA1873" s="3"/>
      <c r="AB1873" s="3"/>
    </row>
    <row r="1874" spans="1:28" x14ac:dyDescent="0.3">
      <c r="A1874" s="2"/>
      <c r="F1874" s="3"/>
      <c r="G1874" s="3"/>
      <c r="N1874" s="3"/>
      <c r="Q1874" s="3"/>
      <c r="R1874" s="3"/>
      <c r="S1874" s="3"/>
      <c r="V1874" s="3"/>
      <c r="W1874" s="3"/>
      <c r="X1874" s="3"/>
      <c r="Y1874" s="3"/>
      <c r="Z1874" s="3"/>
      <c r="AA1874" s="3"/>
      <c r="AB1874" s="3"/>
    </row>
    <row r="1875" spans="1:28" x14ac:dyDescent="0.3">
      <c r="A1875" s="2"/>
      <c r="F1875" s="3"/>
      <c r="G1875" s="3"/>
      <c r="N1875" s="3"/>
      <c r="Q1875" s="3"/>
      <c r="R1875" s="3"/>
      <c r="S1875" s="3"/>
      <c r="V1875" s="3"/>
      <c r="W1875" s="3"/>
      <c r="X1875" s="3"/>
      <c r="Y1875" s="3"/>
      <c r="Z1875" s="3"/>
      <c r="AA1875" s="3"/>
      <c r="AB1875" s="3"/>
    </row>
    <row r="1876" spans="1:28" x14ac:dyDescent="0.3">
      <c r="A1876" s="2"/>
      <c r="F1876" s="3"/>
      <c r="G1876" s="3"/>
      <c r="N1876" s="3"/>
      <c r="Q1876" s="3"/>
      <c r="R1876" s="3"/>
      <c r="S1876" s="3"/>
      <c r="V1876" s="3"/>
      <c r="W1876" s="3"/>
      <c r="X1876" s="3"/>
      <c r="Y1876" s="3"/>
      <c r="Z1876" s="3"/>
      <c r="AA1876" s="3"/>
      <c r="AB1876" s="3"/>
    </row>
    <row r="1877" spans="1:28" x14ac:dyDescent="0.3">
      <c r="A1877" s="2"/>
      <c r="F1877" s="3"/>
      <c r="G1877" s="3"/>
      <c r="N1877" s="3"/>
      <c r="Q1877" s="3"/>
      <c r="R1877" s="3"/>
      <c r="S1877" s="3"/>
      <c r="V1877" s="3"/>
      <c r="W1877" s="3"/>
      <c r="X1877" s="3"/>
      <c r="Y1877" s="3"/>
      <c r="Z1877" s="3"/>
      <c r="AA1877" s="3"/>
      <c r="AB1877" s="3"/>
    </row>
    <row r="1878" spans="1:28" x14ac:dyDescent="0.3">
      <c r="A1878" s="2"/>
      <c r="F1878" s="3"/>
      <c r="G1878" s="3"/>
      <c r="N1878" s="3"/>
      <c r="Q1878" s="3"/>
      <c r="R1878" s="3"/>
      <c r="S1878" s="3"/>
      <c r="V1878" s="3"/>
      <c r="W1878" s="3"/>
      <c r="X1878" s="3"/>
      <c r="Y1878" s="3"/>
      <c r="Z1878" s="3"/>
      <c r="AA1878" s="3"/>
      <c r="AB1878" s="3"/>
    </row>
    <row r="1879" spans="1:28" x14ac:dyDescent="0.3">
      <c r="A1879" s="2"/>
      <c r="F1879" s="3"/>
      <c r="G1879" s="3"/>
      <c r="N1879" s="3"/>
      <c r="Q1879" s="3"/>
      <c r="R1879" s="3"/>
      <c r="S1879" s="3"/>
      <c r="V1879" s="3"/>
      <c r="W1879" s="3"/>
      <c r="X1879" s="3"/>
      <c r="Y1879" s="3"/>
      <c r="Z1879" s="3"/>
      <c r="AA1879" s="3"/>
      <c r="AB1879" s="3"/>
    </row>
    <row r="1880" spans="1:28" x14ac:dyDescent="0.3">
      <c r="A1880" s="2"/>
      <c r="F1880" s="3"/>
      <c r="G1880" s="3"/>
      <c r="N1880" s="3"/>
      <c r="Q1880" s="3"/>
      <c r="R1880" s="3"/>
      <c r="S1880" s="3"/>
      <c r="V1880" s="3"/>
      <c r="W1880" s="3"/>
      <c r="X1880" s="3"/>
      <c r="Y1880" s="3"/>
      <c r="Z1880" s="3"/>
      <c r="AA1880" s="3"/>
      <c r="AB1880" s="3"/>
    </row>
    <row r="1881" spans="1:28" x14ac:dyDescent="0.3">
      <c r="A1881" s="2"/>
      <c r="F1881" s="3"/>
      <c r="G1881" s="3"/>
      <c r="N1881" s="3"/>
      <c r="Q1881" s="3"/>
      <c r="R1881" s="3"/>
      <c r="S1881" s="3"/>
      <c r="V1881" s="3"/>
      <c r="W1881" s="3"/>
      <c r="X1881" s="3"/>
      <c r="Y1881" s="3"/>
      <c r="Z1881" s="3"/>
      <c r="AA1881" s="3"/>
      <c r="AB1881" s="3"/>
    </row>
    <row r="1882" spans="1:28" x14ac:dyDescent="0.3">
      <c r="A1882" s="2"/>
      <c r="F1882" s="3"/>
      <c r="G1882" s="3"/>
      <c r="N1882" s="3"/>
      <c r="Q1882" s="3"/>
      <c r="R1882" s="3"/>
      <c r="S1882" s="3"/>
      <c r="V1882" s="3"/>
      <c r="W1882" s="3"/>
      <c r="X1882" s="3"/>
      <c r="Y1882" s="3"/>
      <c r="Z1882" s="3"/>
      <c r="AA1882" s="3"/>
      <c r="AB1882" s="3"/>
    </row>
    <row r="1883" spans="1:28" x14ac:dyDescent="0.3">
      <c r="A1883" s="2"/>
      <c r="F1883" s="3"/>
      <c r="G1883" s="3"/>
      <c r="N1883" s="3"/>
      <c r="Q1883" s="3"/>
      <c r="R1883" s="3"/>
      <c r="S1883" s="3"/>
      <c r="V1883" s="3"/>
      <c r="W1883" s="3"/>
      <c r="X1883" s="3"/>
      <c r="Y1883" s="3"/>
      <c r="Z1883" s="3"/>
      <c r="AA1883" s="3"/>
      <c r="AB1883" s="3"/>
    </row>
    <row r="1884" spans="1:28" x14ac:dyDescent="0.3">
      <c r="A1884" s="2"/>
      <c r="F1884" s="3"/>
      <c r="G1884" s="3"/>
      <c r="N1884" s="3"/>
      <c r="Q1884" s="3"/>
      <c r="R1884" s="3"/>
      <c r="S1884" s="3"/>
      <c r="V1884" s="3"/>
      <c r="W1884" s="3"/>
      <c r="X1884" s="3"/>
      <c r="Y1884" s="3"/>
      <c r="Z1884" s="3"/>
      <c r="AA1884" s="3"/>
      <c r="AB1884" s="3"/>
    </row>
    <row r="1885" spans="1:28" x14ac:dyDescent="0.3">
      <c r="A1885" s="2"/>
      <c r="F1885" s="3"/>
      <c r="G1885" s="3"/>
      <c r="N1885" s="3"/>
      <c r="Q1885" s="3"/>
      <c r="R1885" s="3"/>
      <c r="S1885" s="3"/>
      <c r="V1885" s="3"/>
      <c r="W1885" s="3"/>
      <c r="X1885" s="3"/>
      <c r="Y1885" s="3"/>
      <c r="Z1885" s="3"/>
      <c r="AA1885" s="3"/>
      <c r="AB1885" s="3"/>
    </row>
    <row r="1886" spans="1:28" x14ac:dyDescent="0.3">
      <c r="A1886" s="2"/>
      <c r="F1886" s="3"/>
      <c r="G1886" s="3"/>
      <c r="N1886" s="3"/>
      <c r="Q1886" s="3"/>
      <c r="R1886" s="3"/>
      <c r="S1886" s="3"/>
      <c r="V1886" s="3"/>
      <c r="W1886" s="3"/>
      <c r="X1886" s="3"/>
      <c r="Y1886" s="3"/>
      <c r="Z1886" s="3"/>
      <c r="AA1886" s="3"/>
      <c r="AB1886" s="3"/>
    </row>
    <row r="1887" spans="1:28" x14ac:dyDescent="0.3">
      <c r="A1887" s="2"/>
      <c r="F1887" s="3"/>
      <c r="G1887" s="3"/>
      <c r="N1887" s="3"/>
      <c r="Q1887" s="3"/>
      <c r="R1887" s="3"/>
      <c r="S1887" s="3"/>
      <c r="V1887" s="3"/>
      <c r="W1887" s="3"/>
      <c r="X1887" s="3"/>
      <c r="Y1887" s="3"/>
      <c r="Z1887" s="3"/>
      <c r="AA1887" s="3"/>
      <c r="AB1887" s="3"/>
    </row>
    <row r="1888" spans="1:28" x14ac:dyDescent="0.3">
      <c r="A1888" s="2"/>
      <c r="F1888" s="3"/>
      <c r="G1888" s="3"/>
      <c r="N1888" s="3"/>
      <c r="Q1888" s="3"/>
      <c r="R1888" s="3"/>
      <c r="S1888" s="3"/>
      <c r="V1888" s="3"/>
      <c r="W1888" s="3"/>
      <c r="X1888" s="3"/>
      <c r="Y1888" s="3"/>
      <c r="Z1888" s="3"/>
      <c r="AA1888" s="3"/>
      <c r="AB1888" s="3"/>
    </row>
    <row r="1889" spans="1:28" x14ac:dyDescent="0.3">
      <c r="A1889" s="2"/>
      <c r="F1889" s="3"/>
      <c r="G1889" s="3"/>
      <c r="N1889" s="3"/>
      <c r="Q1889" s="3"/>
      <c r="R1889" s="3"/>
      <c r="S1889" s="3"/>
      <c r="V1889" s="3"/>
      <c r="W1889" s="3"/>
      <c r="X1889" s="3"/>
      <c r="Y1889" s="3"/>
      <c r="Z1889" s="3"/>
      <c r="AA1889" s="3"/>
      <c r="AB1889" s="3"/>
    </row>
    <row r="1890" spans="1:28" x14ac:dyDescent="0.3">
      <c r="A1890" s="2"/>
      <c r="F1890" s="3"/>
      <c r="G1890" s="3"/>
      <c r="N1890" s="3"/>
      <c r="Q1890" s="3"/>
      <c r="R1890" s="3"/>
      <c r="S1890" s="3"/>
      <c r="V1890" s="3"/>
      <c r="W1890" s="3"/>
      <c r="X1890" s="3"/>
      <c r="Y1890" s="3"/>
      <c r="Z1890" s="3"/>
      <c r="AA1890" s="3"/>
      <c r="AB1890" s="3"/>
    </row>
    <row r="1891" spans="1:28" x14ac:dyDescent="0.3">
      <c r="A1891" s="2"/>
      <c r="F1891" s="3"/>
      <c r="G1891" s="3"/>
      <c r="N1891" s="3"/>
      <c r="Q1891" s="3"/>
      <c r="R1891" s="3"/>
      <c r="S1891" s="3"/>
      <c r="V1891" s="3"/>
      <c r="W1891" s="3"/>
      <c r="X1891" s="3"/>
      <c r="Y1891" s="3"/>
      <c r="Z1891" s="3"/>
      <c r="AA1891" s="3"/>
      <c r="AB1891" s="3"/>
    </row>
    <row r="1892" spans="1:28" x14ac:dyDescent="0.3">
      <c r="A1892" s="2"/>
      <c r="F1892" s="3"/>
      <c r="G1892" s="3"/>
      <c r="N1892" s="3"/>
      <c r="Q1892" s="3"/>
      <c r="R1892" s="3"/>
      <c r="S1892" s="3"/>
      <c r="V1892" s="3"/>
      <c r="W1892" s="3"/>
      <c r="X1892" s="3"/>
      <c r="Y1892" s="3"/>
      <c r="Z1892" s="3"/>
      <c r="AA1892" s="3"/>
      <c r="AB1892" s="3"/>
    </row>
    <row r="1893" spans="1:28" x14ac:dyDescent="0.3">
      <c r="A1893" s="2"/>
      <c r="F1893" s="3"/>
      <c r="G1893" s="3"/>
      <c r="N1893" s="3"/>
      <c r="Q1893" s="3"/>
      <c r="R1893" s="3"/>
      <c r="S1893" s="3"/>
      <c r="V1893" s="3"/>
      <c r="W1893" s="3"/>
      <c r="X1893" s="3"/>
      <c r="Y1893" s="3"/>
      <c r="Z1893" s="3"/>
      <c r="AA1893" s="3"/>
      <c r="AB1893" s="3"/>
    </row>
    <row r="1894" spans="1:28" x14ac:dyDescent="0.3">
      <c r="A1894" s="2"/>
      <c r="F1894" s="3"/>
      <c r="G1894" s="3"/>
      <c r="N1894" s="3"/>
      <c r="Q1894" s="3"/>
      <c r="R1894" s="3"/>
      <c r="S1894" s="3"/>
      <c r="V1894" s="3"/>
      <c r="W1894" s="3"/>
      <c r="X1894" s="3"/>
      <c r="Y1894" s="3"/>
      <c r="Z1894" s="3"/>
      <c r="AA1894" s="3"/>
      <c r="AB1894" s="3"/>
    </row>
    <row r="1895" spans="1:28" x14ac:dyDescent="0.3">
      <c r="A1895" s="2"/>
      <c r="F1895" s="3"/>
      <c r="G1895" s="3"/>
      <c r="N1895" s="3"/>
      <c r="Q1895" s="3"/>
      <c r="R1895" s="3"/>
      <c r="S1895" s="3"/>
      <c r="V1895" s="3"/>
      <c r="W1895" s="3"/>
      <c r="X1895" s="3"/>
      <c r="Y1895" s="3"/>
      <c r="Z1895" s="3"/>
      <c r="AA1895" s="3"/>
      <c r="AB1895" s="3"/>
    </row>
    <row r="1896" spans="1:28" x14ac:dyDescent="0.3">
      <c r="A1896" s="2"/>
      <c r="F1896" s="3"/>
      <c r="G1896" s="3"/>
      <c r="N1896" s="3"/>
      <c r="Q1896" s="3"/>
      <c r="R1896" s="3"/>
      <c r="S1896" s="3"/>
      <c r="V1896" s="3"/>
      <c r="W1896" s="3"/>
      <c r="X1896" s="3"/>
      <c r="Y1896" s="3"/>
      <c r="Z1896" s="3"/>
      <c r="AA1896" s="3"/>
      <c r="AB1896" s="3"/>
    </row>
    <row r="1897" spans="1:28" x14ac:dyDescent="0.3">
      <c r="A1897" s="2"/>
      <c r="F1897" s="3"/>
      <c r="G1897" s="3"/>
      <c r="N1897" s="3"/>
      <c r="Q1897" s="3"/>
      <c r="R1897" s="3"/>
      <c r="S1897" s="3"/>
      <c r="V1897" s="3"/>
      <c r="W1897" s="3"/>
      <c r="X1897" s="3"/>
      <c r="Y1897" s="3"/>
      <c r="Z1897" s="3"/>
      <c r="AA1897" s="3"/>
      <c r="AB1897" s="3"/>
    </row>
    <row r="1898" spans="1:28" x14ac:dyDescent="0.3">
      <c r="A1898" s="2"/>
      <c r="F1898" s="3"/>
      <c r="G1898" s="3"/>
      <c r="N1898" s="3"/>
      <c r="Q1898" s="3"/>
      <c r="R1898" s="3"/>
      <c r="S1898" s="3"/>
      <c r="V1898" s="3"/>
      <c r="W1898" s="3"/>
      <c r="X1898" s="3"/>
      <c r="Y1898" s="3"/>
      <c r="Z1898" s="3"/>
      <c r="AA1898" s="3"/>
      <c r="AB1898" s="3"/>
    </row>
    <row r="1899" spans="1:28" x14ac:dyDescent="0.3">
      <c r="A1899" s="2"/>
      <c r="F1899" s="3"/>
      <c r="G1899" s="3"/>
      <c r="N1899" s="3"/>
      <c r="Q1899" s="3"/>
      <c r="R1899" s="3"/>
      <c r="S1899" s="3"/>
      <c r="V1899" s="3"/>
      <c r="W1899" s="3"/>
      <c r="X1899" s="3"/>
      <c r="Y1899" s="3"/>
      <c r="Z1899" s="3"/>
      <c r="AA1899" s="3"/>
      <c r="AB1899" s="3"/>
    </row>
    <row r="1900" spans="1:28" x14ac:dyDescent="0.3">
      <c r="A1900" s="2"/>
      <c r="F1900" s="3"/>
      <c r="G1900" s="3"/>
      <c r="N1900" s="3"/>
      <c r="Q1900" s="3"/>
      <c r="R1900" s="3"/>
      <c r="S1900" s="3"/>
      <c r="V1900" s="3"/>
      <c r="W1900" s="3"/>
      <c r="X1900" s="3"/>
      <c r="Y1900" s="3"/>
      <c r="Z1900" s="3"/>
      <c r="AA1900" s="3"/>
      <c r="AB1900" s="3"/>
    </row>
    <row r="1901" spans="1:28" x14ac:dyDescent="0.3">
      <c r="A1901" s="2"/>
      <c r="F1901" s="3"/>
      <c r="G1901" s="3"/>
      <c r="N1901" s="3"/>
      <c r="Q1901" s="3"/>
      <c r="R1901" s="3"/>
      <c r="S1901" s="3"/>
      <c r="V1901" s="3"/>
      <c r="W1901" s="3"/>
      <c r="X1901" s="3"/>
      <c r="Y1901" s="3"/>
      <c r="Z1901" s="3"/>
      <c r="AA1901" s="3"/>
      <c r="AB1901" s="3"/>
    </row>
    <row r="1902" spans="1:28" x14ac:dyDescent="0.3">
      <c r="A1902" s="2"/>
      <c r="F1902" s="3"/>
      <c r="G1902" s="3"/>
      <c r="N1902" s="3"/>
      <c r="Q1902" s="3"/>
      <c r="R1902" s="3"/>
      <c r="S1902" s="3"/>
      <c r="V1902" s="3"/>
      <c r="W1902" s="3"/>
      <c r="X1902" s="3"/>
      <c r="Y1902" s="3"/>
      <c r="Z1902" s="3"/>
      <c r="AA1902" s="3"/>
      <c r="AB1902" s="3"/>
    </row>
    <row r="1903" spans="1:28" x14ac:dyDescent="0.3">
      <c r="A1903" s="2"/>
      <c r="F1903" s="3"/>
      <c r="G1903" s="3"/>
      <c r="N1903" s="3"/>
      <c r="Q1903" s="3"/>
      <c r="R1903" s="3"/>
      <c r="S1903" s="3"/>
      <c r="V1903" s="3"/>
      <c r="W1903" s="3"/>
      <c r="X1903" s="3"/>
      <c r="Y1903" s="3"/>
      <c r="Z1903" s="3"/>
      <c r="AA1903" s="3"/>
      <c r="AB1903" s="3"/>
    </row>
    <row r="1904" spans="1:28" x14ac:dyDescent="0.3">
      <c r="A1904" s="2"/>
      <c r="F1904" s="3"/>
      <c r="G1904" s="3"/>
      <c r="N1904" s="3"/>
      <c r="Q1904" s="3"/>
      <c r="R1904" s="3"/>
      <c r="S1904" s="3"/>
      <c r="V1904" s="3"/>
      <c r="W1904" s="3"/>
      <c r="X1904" s="3"/>
      <c r="Y1904" s="3"/>
      <c r="Z1904" s="3"/>
      <c r="AA1904" s="3"/>
      <c r="AB1904" s="3"/>
    </row>
    <row r="1905" spans="1:28" x14ac:dyDescent="0.3">
      <c r="A1905" s="2"/>
      <c r="F1905" s="3"/>
      <c r="G1905" s="3"/>
      <c r="N1905" s="3"/>
      <c r="Q1905" s="3"/>
      <c r="R1905" s="3"/>
      <c r="S1905" s="3"/>
      <c r="V1905" s="3"/>
      <c r="W1905" s="3"/>
      <c r="X1905" s="3"/>
      <c r="Y1905" s="3"/>
      <c r="Z1905" s="3"/>
      <c r="AA1905" s="3"/>
      <c r="AB1905" s="3"/>
    </row>
    <row r="1906" spans="1:28" x14ac:dyDescent="0.3">
      <c r="A1906" s="2"/>
      <c r="F1906" s="3"/>
      <c r="G1906" s="3"/>
      <c r="N1906" s="3"/>
      <c r="Q1906" s="3"/>
      <c r="R1906" s="3"/>
      <c r="S1906" s="3"/>
      <c r="V1906" s="3"/>
      <c r="W1906" s="3"/>
      <c r="X1906" s="3"/>
      <c r="Y1906" s="3"/>
      <c r="Z1906" s="3"/>
      <c r="AA1906" s="3"/>
      <c r="AB1906" s="3"/>
    </row>
    <row r="1907" spans="1:28" x14ac:dyDescent="0.3">
      <c r="A1907" s="2"/>
      <c r="F1907" s="3"/>
      <c r="G1907" s="3"/>
      <c r="N1907" s="3"/>
      <c r="Q1907" s="3"/>
      <c r="R1907" s="3"/>
      <c r="S1907" s="3"/>
      <c r="V1907" s="3"/>
      <c r="W1907" s="3"/>
      <c r="X1907" s="3"/>
      <c r="Y1907" s="3"/>
      <c r="Z1907" s="3"/>
      <c r="AA1907" s="3"/>
      <c r="AB1907" s="3"/>
    </row>
    <row r="1908" spans="1:28" x14ac:dyDescent="0.3">
      <c r="A1908" s="2"/>
      <c r="F1908" s="3"/>
      <c r="G1908" s="3"/>
      <c r="N1908" s="3"/>
      <c r="Q1908" s="3"/>
      <c r="R1908" s="3"/>
      <c r="S1908" s="3"/>
      <c r="V1908" s="3"/>
      <c r="W1908" s="3"/>
      <c r="X1908" s="3"/>
      <c r="Y1908" s="3"/>
      <c r="Z1908" s="3"/>
      <c r="AA1908" s="3"/>
      <c r="AB1908" s="3"/>
    </row>
    <row r="1909" spans="1:28" x14ac:dyDescent="0.3">
      <c r="A1909" s="2"/>
      <c r="F1909" s="3"/>
      <c r="G1909" s="3"/>
      <c r="N1909" s="3"/>
      <c r="Q1909" s="3"/>
      <c r="R1909" s="3"/>
      <c r="S1909" s="3"/>
      <c r="V1909" s="3"/>
      <c r="W1909" s="3"/>
      <c r="X1909" s="3"/>
      <c r="Y1909" s="3"/>
      <c r="Z1909" s="3"/>
      <c r="AA1909" s="3"/>
      <c r="AB1909" s="3"/>
    </row>
    <row r="1910" spans="1:28" x14ac:dyDescent="0.3">
      <c r="A1910" s="2"/>
      <c r="F1910" s="3"/>
      <c r="G1910" s="3"/>
      <c r="N1910" s="3"/>
      <c r="Q1910" s="3"/>
      <c r="R1910" s="3"/>
      <c r="S1910" s="3"/>
      <c r="V1910" s="3"/>
      <c r="W1910" s="3"/>
      <c r="X1910" s="3"/>
      <c r="Y1910" s="3"/>
      <c r="Z1910" s="3"/>
      <c r="AA1910" s="3"/>
      <c r="AB1910" s="3"/>
    </row>
    <row r="1911" spans="1:28" x14ac:dyDescent="0.3">
      <c r="A1911" s="2"/>
      <c r="F1911" s="3"/>
      <c r="G1911" s="3"/>
      <c r="N1911" s="3"/>
      <c r="Q1911" s="3"/>
      <c r="R1911" s="3"/>
      <c r="S1911" s="3"/>
      <c r="V1911" s="3"/>
      <c r="W1911" s="3"/>
      <c r="X1911" s="3"/>
      <c r="Y1911" s="3"/>
      <c r="Z1911" s="3"/>
      <c r="AA1911" s="3"/>
      <c r="AB1911" s="3"/>
    </row>
    <row r="1912" spans="1:28" x14ac:dyDescent="0.3">
      <c r="A1912" s="2"/>
      <c r="F1912" s="3"/>
      <c r="G1912" s="3"/>
      <c r="N1912" s="3"/>
      <c r="Q1912" s="3"/>
      <c r="R1912" s="3"/>
      <c r="S1912" s="3"/>
      <c r="V1912" s="3"/>
      <c r="W1912" s="3"/>
      <c r="X1912" s="3"/>
      <c r="Y1912" s="3"/>
      <c r="Z1912" s="3"/>
      <c r="AA1912" s="3"/>
      <c r="AB1912" s="3"/>
    </row>
    <row r="1913" spans="1:28" x14ac:dyDescent="0.3">
      <c r="A1913" s="2"/>
      <c r="F1913" s="3"/>
      <c r="G1913" s="3"/>
      <c r="N1913" s="3"/>
      <c r="Q1913" s="3"/>
      <c r="R1913" s="3"/>
      <c r="S1913" s="3"/>
      <c r="V1913" s="3"/>
      <c r="W1913" s="3"/>
      <c r="X1913" s="3"/>
      <c r="Y1913" s="3"/>
      <c r="Z1913" s="3"/>
      <c r="AA1913" s="3"/>
      <c r="AB1913" s="3"/>
    </row>
    <row r="1914" spans="1:28" x14ac:dyDescent="0.3">
      <c r="A1914" s="2"/>
      <c r="F1914" s="3"/>
      <c r="G1914" s="3"/>
      <c r="N1914" s="3"/>
      <c r="Q1914" s="3"/>
      <c r="R1914" s="3"/>
      <c r="S1914" s="3"/>
      <c r="V1914" s="3"/>
      <c r="W1914" s="3"/>
      <c r="X1914" s="3"/>
      <c r="Y1914" s="3"/>
      <c r="Z1914" s="3"/>
      <c r="AA1914" s="3"/>
      <c r="AB1914" s="3"/>
    </row>
    <row r="1915" spans="1:28" x14ac:dyDescent="0.3">
      <c r="A1915" s="2"/>
      <c r="F1915" s="3"/>
      <c r="G1915" s="3"/>
      <c r="N1915" s="3"/>
      <c r="Q1915" s="3"/>
      <c r="R1915" s="3"/>
      <c r="S1915" s="3"/>
      <c r="V1915" s="3"/>
      <c r="W1915" s="3"/>
      <c r="X1915" s="3"/>
      <c r="Y1915" s="3"/>
      <c r="Z1915" s="3"/>
      <c r="AA1915" s="3"/>
      <c r="AB1915" s="3"/>
    </row>
    <row r="1916" spans="1:28" x14ac:dyDescent="0.3">
      <c r="A1916" s="2"/>
      <c r="F1916" s="3"/>
      <c r="G1916" s="3"/>
      <c r="N1916" s="3"/>
      <c r="Q1916" s="3"/>
      <c r="R1916" s="3"/>
      <c r="S1916" s="3"/>
      <c r="V1916" s="3"/>
      <c r="W1916" s="3"/>
      <c r="X1916" s="3"/>
      <c r="Y1916" s="3"/>
      <c r="Z1916" s="3"/>
      <c r="AA1916" s="3"/>
      <c r="AB1916" s="3"/>
    </row>
    <row r="1917" spans="1:28" x14ac:dyDescent="0.3">
      <c r="A1917" s="2"/>
      <c r="F1917" s="3"/>
      <c r="G1917" s="3"/>
      <c r="N1917" s="3"/>
      <c r="Q1917" s="3"/>
      <c r="R1917" s="3"/>
      <c r="S1917" s="3"/>
      <c r="V1917" s="3"/>
      <c r="W1917" s="3"/>
      <c r="X1917" s="3"/>
      <c r="Y1917" s="3"/>
      <c r="Z1917" s="3"/>
      <c r="AA1917" s="3"/>
      <c r="AB1917" s="3"/>
    </row>
    <row r="1918" spans="1:28" x14ac:dyDescent="0.3">
      <c r="A1918" s="2"/>
      <c r="F1918" s="3"/>
      <c r="G1918" s="3"/>
      <c r="N1918" s="3"/>
      <c r="Q1918" s="3"/>
      <c r="R1918" s="3"/>
      <c r="S1918" s="3"/>
      <c r="V1918" s="3"/>
      <c r="W1918" s="3"/>
      <c r="X1918" s="3"/>
      <c r="Y1918" s="3"/>
      <c r="Z1918" s="3"/>
      <c r="AA1918" s="3"/>
      <c r="AB1918" s="3"/>
    </row>
    <row r="1919" spans="1:28" x14ac:dyDescent="0.3">
      <c r="A1919" s="2"/>
      <c r="F1919" s="3"/>
      <c r="G1919" s="3"/>
      <c r="N1919" s="3"/>
      <c r="Q1919" s="3"/>
      <c r="R1919" s="3"/>
      <c r="S1919" s="3"/>
      <c r="V1919" s="3"/>
      <c r="W1919" s="3"/>
      <c r="X1919" s="3"/>
      <c r="Y1919" s="3"/>
      <c r="Z1919" s="3"/>
      <c r="AA1919" s="3"/>
      <c r="AB1919" s="3"/>
    </row>
    <row r="1920" spans="1:28" x14ac:dyDescent="0.3">
      <c r="A1920" s="2"/>
      <c r="F1920" s="3"/>
      <c r="G1920" s="3"/>
      <c r="N1920" s="3"/>
      <c r="Q1920" s="3"/>
      <c r="R1920" s="3"/>
      <c r="S1920" s="3"/>
      <c r="V1920" s="3"/>
      <c r="W1920" s="3"/>
      <c r="X1920" s="3"/>
      <c r="Y1920" s="3"/>
      <c r="Z1920" s="3"/>
      <c r="AA1920" s="3"/>
      <c r="AB1920" s="3"/>
    </row>
    <row r="1921" spans="1:28" x14ac:dyDescent="0.3">
      <c r="A1921" s="2"/>
      <c r="F1921" s="3"/>
      <c r="G1921" s="3"/>
      <c r="N1921" s="3"/>
      <c r="Q1921" s="3"/>
      <c r="R1921" s="3"/>
      <c r="S1921" s="3"/>
      <c r="V1921" s="3"/>
      <c r="W1921" s="3"/>
      <c r="X1921" s="3"/>
      <c r="Y1921" s="3"/>
      <c r="Z1921" s="3"/>
      <c r="AA1921" s="3"/>
      <c r="AB1921" s="3"/>
    </row>
    <row r="1922" spans="1:28" x14ac:dyDescent="0.3">
      <c r="A1922" s="2"/>
      <c r="F1922" s="3"/>
      <c r="G1922" s="3"/>
      <c r="N1922" s="3"/>
      <c r="Q1922" s="3"/>
      <c r="R1922" s="3"/>
      <c r="S1922" s="3"/>
      <c r="V1922" s="3"/>
      <c r="W1922" s="3"/>
      <c r="X1922" s="3"/>
      <c r="Y1922" s="3"/>
      <c r="Z1922" s="3"/>
      <c r="AA1922" s="3"/>
      <c r="AB1922" s="3"/>
    </row>
    <row r="1923" spans="1:28" x14ac:dyDescent="0.3">
      <c r="A1923" s="2"/>
      <c r="F1923" s="3"/>
      <c r="G1923" s="3"/>
      <c r="N1923" s="3"/>
      <c r="Q1923" s="3"/>
      <c r="R1923" s="3"/>
      <c r="S1923" s="3"/>
      <c r="V1923" s="3"/>
      <c r="W1923" s="3"/>
      <c r="X1923" s="3"/>
      <c r="Y1923" s="3"/>
      <c r="Z1923" s="3"/>
      <c r="AA1923" s="3"/>
      <c r="AB1923" s="3"/>
    </row>
    <row r="1924" spans="1:28" x14ac:dyDescent="0.3">
      <c r="A1924" s="2"/>
      <c r="F1924" s="3"/>
      <c r="G1924" s="3"/>
      <c r="N1924" s="3"/>
      <c r="Q1924" s="3"/>
      <c r="R1924" s="3"/>
      <c r="S1924" s="3"/>
      <c r="V1924" s="3"/>
      <c r="W1924" s="3"/>
      <c r="X1924" s="3"/>
      <c r="Y1924" s="3"/>
      <c r="Z1924" s="3"/>
      <c r="AA1924" s="3"/>
      <c r="AB1924" s="3"/>
    </row>
    <row r="1925" spans="1:28" x14ac:dyDescent="0.3">
      <c r="A1925" s="2"/>
      <c r="F1925" s="3"/>
      <c r="G1925" s="3"/>
      <c r="N1925" s="3"/>
      <c r="Q1925" s="3"/>
      <c r="R1925" s="3"/>
      <c r="S1925" s="3"/>
      <c r="V1925" s="3"/>
      <c r="W1925" s="3"/>
      <c r="X1925" s="3"/>
      <c r="Y1925" s="3"/>
      <c r="Z1925" s="3"/>
      <c r="AA1925" s="3"/>
      <c r="AB1925" s="3"/>
    </row>
    <row r="1926" spans="1:28" x14ac:dyDescent="0.3">
      <c r="A1926" s="2"/>
      <c r="F1926" s="3"/>
      <c r="G1926" s="3"/>
      <c r="N1926" s="3"/>
      <c r="Q1926" s="3"/>
      <c r="R1926" s="3"/>
      <c r="S1926" s="3"/>
      <c r="V1926" s="3"/>
      <c r="W1926" s="3"/>
      <c r="X1926" s="3"/>
      <c r="Y1926" s="3"/>
      <c r="Z1926" s="3"/>
      <c r="AA1926" s="3"/>
      <c r="AB1926" s="3"/>
    </row>
    <row r="1927" spans="1:28" x14ac:dyDescent="0.3">
      <c r="A1927" s="2"/>
      <c r="F1927" s="3"/>
      <c r="G1927" s="3"/>
      <c r="N1927" s="3"/>
      <c r="Q1927" s="3"/>
      <c r="R1927" s="3"/>
      <c r="S1927" s="3"/>
      <c r="V1927" s="3"/>
      <c r="W1927" s="3"/>
      <c r="X1927" s="3"/>
      <c r="Y1927" s="3"/>
      <c r="Z1927" s="3"/>
      <c r="AA1927" s="3"/>
      <c r="AB1927" s="3"/>
    </row>
    <row r="1928" spans="1:28" x14ac:dyDescent="0.3">
      <c r="A1928" s="2"/>
      <c r="F1928" s="3"/>
      <c r="G1928" s="3"/>
      <c r="N1928" s="3"/>
      <c r="Q1928" s="3"/>
      <c r="R1928" s="3"/>
      <c r="S1928" s="3"/>
      <c r="V1928" s="3"/>
      <c r="W1928" s="3"/>
      <c r="X1928" s="3"/>
      <c r="Y1928" s="3"/>
      <c r="Z1928" s="3"/>
      <c r="AA1928" s="3"/>
      <c r="AB1928" s="3"/>
    </row>
    <row r="1929" spans="1:28" x14ac:dyDescent="0.3">
      <c r="A1929" s="2"/>
      <c r="F1929" s="3"/>
      <c r="G1929" s="3"/>
      <c r="N1929" s="3"/>
      <c r="Q1929" s="3"/>
      <c r="R1929" s="3"/>
      <c r="S1929" s="3"/>
      <c r="V1929" s="3"/>
      <c r="W1929" s="3"/>
      <c r="X1929" s="3"/>
      <c r="Y1929" s="3"/>
      <c r="Z1929" s="3"/>
      <c r="AA1929" s="3"/>
      <c r="AB1929" s="3"/>
    </row>
    <row r="1930" spans="1:28" x14ac:dyDescent="0.3">
      <c r="A1930" s="2"/>
      <c r="F1930" s="3"/>
      <c r="G1930" s="3"/>
      <c r="N1930" s="3"/>
      <c r="Q1930" s="3"/>
      <c r="R1930" s="3"/>
      <c r="S1930" s="3"/>
      <c r="V1930" s="3"/>
      <c r="W1930" s="3"/>
      <c r="X1930" s="3"/>
      <c r="Y1930" s="3"/>
      <c r="Z1930" s="3"/>
      <c r="AA1930" s="3"/>
      <c r="AB1930" s="3"/>
    </row>
    <row r="1931" spans="1:28" x14ac:dyDescent="0.3">
      <c r="A1931" s="2"/>
      <c r="F1931" s="3"/>
      <c r="G1931" s="3"/>
      <c r="N1931" s="3"/>
      <c r="Q1931" s="3"/>
      <c r="R1931" s="3"/>
      <c r="S1931" s="3"/>
      <c r="V1931" s="3"/>
      <c r="W1931" s="3"/>
      <c r="X1931" s="3"/>
      <c r="Y1931" s="3"/>
      <c r="Z1931" s="3"/>
      <c r="AA1931" s="3"/>
      <c r="AB1931" s="3"/>
    </row>
    <row r="1932" spans="1:28" x14ac:dyDescent="0.3">
      <c r="A1932" s="2"/>
      <c r="F1932" s="3"/>
      <c r="G1932" s="3"/>
      <c r="N1932" s="3"/>
      <c r="Q1932" s="3"/>
      <c r="R1932" s="3"/>
      <c r="S1932" s="3"/>
      <c r="V1932" s="3"/>
      <c r="W1932" s="3"/>
      <c r="X1932" s="3"/>
      <c r="Y1932" s="3"/>
      <c r="Z1932" s="3"/>
      <c r="AA1932" s="3"/>
      <c r="AB1932" s="3"/>
    </row>
    <row r="1933" spans="1:28" x14ac:dyDescent="0.3">
      <c r="A1933" s="2"/>
      <c r="F1933" s="3"/>
      <c r="G1933" s="3"/>
      <c r="N1933" s="3"/>
      <c r="Q1933" s="3"/>
      <c r="R1933" s="3"/>
      <c r="S1933" s="3"/>
      <c r="V1933" s="3"/>
      <c r="W1933" s="3"/>
      <c r="X1933" s="3"/>
      <c r="Y1933" s="3"/>
      <c r="Z1933" s="3"/>
      <c r="AA1933" s="3"/>
      <c r="AB1933" s="3"/>
    </row>
    <row r="1934" spans="1:28" x14ac:dyDescent="0.3">
      <c r="A1934" s="2"/>
      <c r="F1934" s="3"/>
      <c r="G1934" s="3"/>
      <c r="N1934" s="3"/>
      <c r="Q1934" s="3"/>
      <c r="R1934" s="3"/>
      <c r="S1934" s="3"/>
      <c r="V1934" s="3"/>
      <c r="W1934" s="3"/>
      <c r="X1934" s="3"/>
      <c r="Y1934" s="3"/>
      <c r="Z1934" s="3"/>
      <c r="AA1934" s="3"/>
      <c r="AB1934" s="3"/>
    </row>
    <row r="1935" spans="1:28" x14ac:dyDescent="0.3">
      <c r="A1935" s="2"/>
      <c r="F1935" s="3"/>
      <c r="G1935" s="3"/>
      <c r="N1935" s="3"/>
      <c r="Q1935" s="3"/>
      <c r="R1935" s="3"/>
      <c r="S1935" s="3"/>
      <c r="V1935" s="3"/>
      <c r="W1935" s="3"/>
      <c r="X1935" s="3"/>
      <c r="Y1935" s="3"/>
      <c r="Z1935" s="3"/>
      <c r="AA1935" s="3"/>
      <c r="AB1935" s="3"/>
    </row>
    <row r="1936" spans="1:28" x14ac:dyDescent="0.3">
      <c r="A1936" s="2"/>
      <c r="F1936" s="3"/>
      <c r="G1936" s="3"/>
      <c r="N1936" s="3"/>
      <c r="Q1936" s="3"/>
      <c r="R1936" s="3"/>
      <c r="S1936" s="3"/>
      <c r="V1936" s="3"/>
      <c r="W1936" s="3"/>
      <c r="X1936" s="3"/>
      <c r="Y1936" s="3"/>
      <c r="Z1936" s="3"/>
      <c r="AA1936" s="3"/>
      <c r="AB1936" s="3"/>
    </row>
    <row r="1937" spans="1:28" x14ac:dyDescent="0.3">
      <c r="A1937" s="2"/>
      <c r="F1937" s="3"/>
      <c r="G1937" s="3"/>
      <c r="N1937" s="3"/>
      <c r="Q1937" s="3"/>
      <c r="R1937" s="3"/>
      <c r="S1937" s="3"/>
      <c r="V1937" s="3"/>
      <c r="W1937" s="3"/>
      <c r="X1937" s="3"/>
      <c r="Y1937" s="3"/>
      <c r="Z1937" s="3"/>
      <c r="AA1937" s="3"/>
      <c r="AB1937" s="3"/>
    </row>
    <row r="1938" spans="1:28" x14ac:dyDescent="0.3">
      <c r="A1938" s="2"/>
      <c r="F1938" s="3"/>
      <c r="G1938" s="3"/>
      <c r="N1938" s="3"/>
      <c r="Q1938" s="3"/>
      <c r="R1938" s="3"/>
      <c r="S1938" s="3"/>
      <c r="V1938" s="3"/>
      <c r="W1938" s="3"/>
      <c r="X1938" s="3"/>
      <c r="Y1938" s="3"/>
      <c r="Z1938" s="3"/>
      <c r="AA1938" s="3"/>
      <c r="AB1938" s="3"/>
    </row>
    <row r="1939" spans="1:28" x14ac:dyDescent="0.3">
      <c r="A1939" s="2"/>
      <c r="F1939" s="3"/>
      <c r="G1939" s="3"/>
      <c r="N1939" s="3"/>
      <c r="Q1939" s="3"/>
      <c r="R1939" s="3"/>
      <c r="S1939" s="3"/>
      <c r="V1939" s="3"/>
      <c r="W1939" s="3"/>
      <c r="X1939" s="3"/>
      <c r="Y1939" s="3"/>
      <c r="Z1939" s="3"/>
      <c r="AA1939" s="3"/>
      <c r="AB1939" s="3"/>
    </row>
    <row r="1940" spans="1:28" x14ac:dyDescent="0.3">
      <c r="A1940" s="2"/>
      <c r="F1940" s="3"/>
      <c r="G1940" s="3"/>
      <c r="N1940" s="3"/>
      <c r="Q1940" s="3"/>
      <c r="R1940" s="3"/>
      <c r="S1940" s="3"/>
      <c r="V1940" s="3"/>
      <c r="W1940" s="3"/>
      <c r="X1940" s="3"/>
      <c r="Y1940" s="3"/>
      <c r="Z1940" s="3"/>
      <c r="AA1940" s="3"/>
      <c r="AB1940" s="3"/>
    </row>
    <row r="1941" spans="1:28" x14ac:dyDescent="0.3">
      <c r="A1941" s="2"/>
      <c r="F1941" s="3"/>
      <c r="G1941" s="3"/>
      <c r="N1941" s="3"/>
      <c r="Q1941" s="3"/>
      <c r="R1941" s="3"/>
      <c r="S1941" s="3"/>
      <c r="V1941" s="3"/>
      <c r="W1941" s="3"/>
      <c r="X1941" s="3"/>
      <c r="Y1941" s="3"/>
      <c r="Z1941" s="3"/>
      <c r="AA1941" s="3"/>
      <c r="AB1941" s="3"/>
    </row>
    <row r="1942" spans="1:28" x14ac:dyDescent="0.3">
      <c r="A1942" s="2"/>
      <c r="F1942" s="3"/>
      <c r="G1942" s="3"/>
      <c r="N1942" s="3"/>
      <c r="Q1942" s="3"/>
      <c r="R1942" s="3"/>
      <c r="S1942" s="3"/>
      <c r="V1942" s="3"/>
      <c r="W1942" s="3"/>
      <c r="X1942" s="3"/>
      <c r="Y1942" s="3"/>
      <c r="Z1942" s="3"/>
      <c r="AA1942" s="3"/>
      <c r="AB1942" s="3"/>
    </row>
    <row r="1943" spans="1:28" x14ac:dyDescent="0.3">
      <c r="A1943" s="2"/>
      <c r="F1943" s="3"/>
      <c r="G1943" s="3"/>
      <c r="N1943" s="3"/>
      <c r="Q1943" s="3"/>
      <c r="R1943" s="3"/>
      <c r="S1943" s="3"/>
      <c r="V1943" s="3"/>
      <c r="W1943" s="3"/>
      <c r="X1943" s="3"/>
      <c r="Y1943" s="3"/>
      <c r="Z1943" s="3"/>
      <c r="AA1943" s="3"/>
      <c r="AB1943" s="3"/>
    </row>
    <row r="1944" spans="1:28" x14ac:dyDescent="0.3">
      <c r="A1944" s="2"/>
      <c r="F1944" s="3"/>
      <c r="G1944" s="3"/>
      <c r="N1944" s="3"/>
      <c r="Q1944" s="3"/>
      <c r="R1944" s="3"/>
      <c r="S1944" s="3"/>
      <c r="V1944" s="3"/>
      <c r="W1944" s="3"/>
      <c r="X1944" s="3"/>
      <c r="Y1944" s="3"/>
      <c r="Z1944" s="3"/>
      <c r="AA1944" s="3"/>
      <c r="AB1944" s="3"/>
    </row>
    <row r="1945" spans="1:28" x14ac:dyDescent="0.3">
      <c r="A1945" s="2"/>
      <c r="F1945" s="3"/>
      <c r="G1945" s="3"/>
      <c r="N1945" s="3"/>
      <c r="Q1945" s="3"/>
      <c r="R1945" s="3"/>
      <c r="S1945" s="3"/>
      <c r="V1945" s="3"/>
      <c r="W1945" s="3"/>
      <c r="X1945" s="3"/>
      <c r="Y1945" s="3"/>
      <c r="Z1945" s="3"/>
      <c r="AA1945" s="3"/>
      <c r="AB1945" s="3"/>
    </row>
    <row r="1946" spans="1:28" x14ac:dyDescent="0.3">
      <c r="A1946" s="2"/>
      <c r="F1946" s="3"/>
      <c r="G1946" s="3"/>
      <c r="N1946" s="3"/>
      <c r="Q1946" s="3"/>
      <c r="R1946" s="3"/>
      <c r="S1946" s="3"/>
      <c r="V1946" s="3"/>
      <c r="W1946" s="3"/>
      <c r="X1946" s="3"/>
      <c r="Y1946" s="3"/>
      <c r="Z1946" s="3"/>
      <c r="AA1946" s="3"/>
      <c r="AB1946" s="3"/>
    </row>
    <row r="1947" spans="1:28" x14ac:dyDescent="0.3">
      <c r="A1947" s="2"/>
      <c r="F1947" s="3"/>
      <c r="G1947" s="3"/>
      <c r="N1947" s="3"/>
      <c r="Q1947" s="3"/>
      <c r="R1947" s="3"/>
      <c r="S1947" s="3"/>
      <c r="V1947" s="3"/>
      <c r="W1947" s="3"/>
      <c r="X1947" s="3"/>
      <c r="Y1947" s="3"/>
      <c r="Z1947" s="3"/>
      <c r="AA1947" s="3"/>
      <c r="AB1947" s="3"/>
    </row>
    <row r="1948" spans="1:28" x14ac:dyDescent="0.3">
      <c r="A1948" s="2"/>
      <c r="F1948" s="3"/>
      <c r="G1948" s="3"/>
      <c r="N1948" s="3"/>
      <c r="Q1948" s="3"/>
      <c r="R1948" s="3"/>
      <c r="S1948" s="3"/>
      <c r="V1948" s="3"/>
      <c r="W1948" s="3"/>
      <c r="X1948" s="3"/>
      <c r="Y1948" s="3"/>
      <c r="Z1948" s="3"/>
      <c r="AA1948" s="3"/>
      <c r="AB1948" s="3"/>
    </row>
    <row r="1949" spans="1:28" x14ac:dyDescent="0.3">
      <c r="A1949" s="2"/>
      <c r="F1949" s="3"/>
      <c r="G1949" s="3"/>
      <c r="N1949" s="3"/>
      <c r="Q1949" s="3"/>
      <c r="R1949" s="3"/>
      <c r="S1949" s="3"/>
      <c r="V1949" s="3"/>
      <c r="W1949" s="3"/>
      <c r="X1949" s="3"/>
      <c r="Y1949" s="3"/>
      <c r="Z1949" s="3"/>
      <c r="AA1949" s="3"/>
      <c r="AB1949" s="3"/>
    </row>
    <row r="1950" spans="1:28" x14ac:dyDescent="0.3">
      <c r="A1950" s="2"/>
      <c r="F1950" s="3"/>
      <c r="G1950" s="3"/>
      <c r="N1950" s="3"/>
      <c r="Q1950" s="3"/>
      <c r="R1950" s="3"/>
      <c r="S1950" s="3"/>
      <c r="V1950" s="3"/>
      <c r="W1950" s="3"/>
      <c r="X1950" s="3"/>
      <c r="Y1950" s="3"/>
      <c r="Z1950" s="3"/>
      <c r="AA1950" s="3"/>
      <c r="AB1950" s="3"/>
    </row>
    <row r="1951" spans="1:28" x14ac:dyDescent="0.3">
      <c r="A1951" s="2"/>
      <c r="F1951" s="3"/>
      <c r="G1951" s="3"/>
      <c r="N1951" s="3"/>
      <c r="Q1951" s="3"/>
      <c r="R1951" s="3"/>
      <c r="S1951" s="3"/>
      <c r="V1951" s="3"/>
      <c r="W1951" s="3"/>
      <c r="X1951" s="3"/>
      <c r="Y1951" s="3"/>
      <c r="Z1951" s="3"/>
      <c r="AA1951" s="3"/>
      <c r="AB1951" s="3"/>
    </row>
    <row r="1952" spans="1:28" x14ac:dyDescent="0.3">
      <c r="A1952" s="2"/>
      <c r="F1952" s="3"/>
      <c r="G1952" s="3"/>
      <c r="N1952" s="3"/>
      <c r="Q1952" s="3"/>
      <c r="R1952" s="3"/>
      <c r="S1952" s="3"/>
      <c r="V1952" s="3"/>
      <c r="W1952" s="3"/>
      <c r="X1952" s="3"/>
      <c r="Y1952" s="3"/>
      <c r="Z1952" s="3"/>
      <c r="AA1952" s="3"/>
      <c r="AB1952" s="3"/>
    </row>
    <row r="1953" spans="1:28" x14ac:dyDescent="0.3">
      <c r="A1953" s="2"/>
      <c r="F1953" s="3"/>
      <c r="G1953" s="3"/>
      <c r="N1953" s="3"/>
      <c r="Q1953" s="3"/>
      <c r="R1953" s="3"/>
      <c r="S1953" s="3"/>
      <c r="V1953" s="3"/>
      <c r="W1953" s="3"/>
      <c r="X1953" s="3"/>
      <c r="Y1953" s="3"/>
      <c r="Z1953" s="3"/>
      <c r="AA1953" s="3"/>
      <c r="AB1953" s="3"/>
    </row>
    <row r="1954" spans="1:28" x14ac:dyDescent="0.3">
      <c r="A1954" s="2"/>
      <c r="F1954" s="3"/>
      <c r="G1954" s="3"/>
      <c r="N1954" s="3"/>
      <c r="Q1954" s="3"/>
      <c r="R1954" s="3"/>
      <c r="S1954" s="3"/>
      <c r="V1954" s="3"/>
      <c r="W1954" s="3"/>
      <c r="X1954" s="3"/>
      <c r="Y1954" s="3"/>
      <c r="Z1954" s="3"/>
      <c r="AA1954" s="3"/>
      <c r="AB1954" s="3"/>
    </row>
    <row r="1955" spans="1:28" x14ac:dyDescent="0.3">
      <c r="A1955" s="2"/>
      <c r="F1955" s="3"/>
      <c r="G1955" s="3"/>
      <c r="N1955" s="3"/>
      <c r="Q1955" s="3"/>
      <c r="R1955" s="3"/>
      <c r="S1955" s="3"/>
      <c r="V1955" s="3"/>
      <c r="W1955" s="3"/>
      <c r="X1955" s="3"/>
      <c r="Y1955" s="3"/>
      <c r="Z1955" s="3"/>
      <c r="AA1955" s="3"/>
      <c r="AB1955" s="3"/>
    </row>
    <row r="1956" spans="1:28" x14ac:dyDescent="0.3">
      <c r="A1956" s="2"/>
      <c r="F1956" s="3"/>
      <c r="G1956" s="3"/>
      <c r="N1956" s="3"/>
      <c r="Q1956" s="3"/>
      <c r="R1956" s="3"/>
      <c r="S1956" s="3"/>
      <c r="V1956" s="3"/>
      <c r="W1956" s="3"/>
      <c r="X1956" s="3"/>
      <c r="Y1956" s="3"/>
      <c r="Z1956" s="3"/>
      <c r="AA1956" s="3"/>
      <c r="AB1956" s="3"/>
    </row>
    <row r="1957" spans="1:28" x14ac:dyDescent="0.3">
      <c r="A1957" s="2"/>
      <c r="F1957" s="3"/>
      <c r="G1957" s="3"/>
      <c r="N1957" s="3"/>
      <c r="Q1957" s="3"/>
      <c r="R1957" s="3"/>
      <c r="S1957" s="3"/>
      <c r="V1957" s="3"/>
      <c r="W1957" s="3"/>
      <c r="X1957" s="3"/>
      <c r="Y1957" s="3"/>
      <c r="Z1957" s="3"/>
      <c r="AA1957" s="3"/>
      <c r="AB1957" s="3"/>
    </row>
    <row r="1958" spans="1:28" x14ac:dyDescent="0.3">
      <c r="A1958" s="2"/>
      <c r="F1958" s="3"/>
      <c r="G1958" s="3"/>
      <c r="N1958" s="3"/>
      <c r="Q1958" s="3"/>
      <c r="R1958" s="3"/>
      <c r="S1958" s="3"/>
      <c r="V1958" s="3"/>
      <c r="W1958" s="3"/>
      <c r="X1958" s="3"/>
      <c r="Y1958" s="3"/>
      <c r="Z1958" s="3"/>
      <c r="AA1958" s="3"/>
      <c r="AB1958" s="3"/>
    </row>
    <row r="1959" spans="1:28" x14ac:dyDescent="0.3">
      <c r="A1959" s="2"/>
      <c r="F1959" s="3"/>
      <c r="G1959" s="3"/>
      <c r="N1959" s="3"/>
      <c r="Q1959" s="3"/>
      <c r="R1959" s="3"/>
      <c r="S1959" s="3"/>
      <c r="V1959" s="3"/>
      <c r="W1959" s="3"/>
      <c r="X1959" s="3"/>
      <c r="Y1959" s="3"/>
      <c r="Z1959" s="3"/>
      <c r="AA1959" s="3"/>
      <c r="AB1959" s="3"/>
    </row>
    <row r="1960" spans="1:28" x14ac:dyDescent="0.3">
      <c r="A1960" s="2"/>
      <c r="F1960" s="3"/>
      <c r="G1960" s="3"/>
      <c r="N1960" s="3"/>
      <c r="Q1960" s="3"/>
      <c r="R1960" s="3"/>
      <c r="S1960" s="3"/>
      <c r="V1960" s="3"/>
      <c r="W1960" s="3"/>
      <c r="X1960" s="3"/>
      <c r="Y1960" s="3"/>
      <c r="Z1960" s="3"/>
      <c r="AA1960" s="3"/>
      <c r="AB1960" s="3"/>
    </row>
    <row r="1961" spans="1:28" x14ac:dyDescent="0.3">
      <c r="A1961" s="2"/>
      <c r="F1961" s="3"/>
      <c r="G1961" s="3"/>
      <c r="N1961" s="3"/>
      <c r="Q1961" s="3"/>
      <c r="R1961" s="3"/>
      <c r="S1961" s="3"/>
      <c r="V1961" s="3"/>
      <c r="W1961" s="3"/>
      <c r="X1961" s="3"/>
      <c r="Y1961" s="3"/>
      <c r="Z1961" s="3"/>
      <c r="AA1961" s="3"/>
      <c r="AB1961" s="3"/>
    </row>
    <row r="1962" spans="1:28" x14ac:dyDescent="0.3">
      <c r="A1962" s="2"/>
      <c r="F1962" s="3"/>
      <c r="G1962" s="3"/>
      <c r="N1962" s="3"/>
      <c r="Q1962" s="3"/>
      <c r="R1962" s="3"/>
      <c r="S1962" s="3"/>
      <c r="V1962" s="3"/>
      <c r="W1962" s="3"/>
      <c r="X1962" s="3"/>
      <c r="Y1962" s="3"/>
      <c r="Z1962" s="3"/>
      <c r="AA1962" s="3"/>
      <c r="AB1962" s="3"/>
    </row>
    <row r="1963" spans="1:28" x14ac:dyDescent="0.3">
      <c r="A1963" s="2"/>
      <c r="F1963" s="3"/>
      <c r="G1963" s="3"/>
      <c r="N1963" s="3"/>
      <c r="Q1963" s="3"/>
      <c r="R1963" s="3"/>
      <c r="S1963" s="3"/>
      <c r="V1963" s="3"/>
      <c r="W1963" s="3"/>
      <c r="X1963" s="3"/>
      <c r="Y1963" s="3"/>
      <c r="Z1963" s="3"/>
      <c r="AA1963" s="3"/>
      <c r="AB1963" s="3"/>
    </row>
    <row r="1964" spans="1:28" x14ac:dyDescent="0.3">
      <c r="A1964" s="2"/>
      <c r="F1964" s="3"/>
      <c r="G1964" s="3"/>
      <c r="N1964" s="3"/>
      <c r="Q1964" s="3"/>
      <c r="R1964" s="3"/>
      <c r="S1964" s="3"/>
      <c r="V1964" s="3"/>
      <c r="W1964" s="3"/>
      <c r="X1964" s="3"/>
      <c r="Y1964" s="3"/>
      <c r="Z1964" s="3"/>
      <c r="AA1964" s="3"/>
      <c r="AB1964" s="3"/>
    </row>
    <row r="1965" spans="1:28" x14ac:dyDescent="0.3">
      <c r="A1965" s="2"/>
      <c r="F1965" s="3"/>
      <c r="G1965" s="3"/>
      <c r="N1965" s="3"/>
      <c r="Q1965" s="3"/>
      <c r="R1965" s="3"/>
      <c r="S1965" s="3"/>
      <c r="V1965" s="3"/>
      <c r="W1965" s="3"/>
      <c r="X1965" s="3"/>
      <c r="Y1965" s="3"/>
      <c r="Z1965" s="3"/>
      <c r="AA1965" s="3"/>
      <c r="AB1965" s="3"/>
    </row>
    <row r="1966" spans="1:28" x14ac:dyDescent="0.3">
      <c r="A1966" s="2"/>
      <c r="F1966" s="3"/>
      <c r="G1966" s="3"/>
      <c r="N1966" s="3"/>
      <c r="Q1966" s="3"/>
      <c r="R1966" s="3"/>
      <c r="S1966" s="3"/>
      <c r="V1966" s="3"/>
      <c r="W1966" s="3"/>
      <c r="X1966" s="3"/>
      <c r="Y1966" s="3"/>
      <c r="Z1966" s="3"/>
      <c r="AA1966" s="3"/>
      <c r="AB1966" s="3"/>
    </row>
    <row r="1967" spans="1:28" x14ac:dyDescent="0.3">
      <c r="A1967" s="2"/>
      <c r="F1967" s="3"/>
      <c r="G1967" s="3"/>
      <c r="N1967" s="3"/>
      <c r="Q1967" s="3"/>
      <c r="R1967" s="3"/>
      <c r="S1967" s="3"/>
      <c r="V1967" s="3"/>
      <c r="W1967" s="3"/>
      <c r="X1967" s="3"/>
      <c r="Y1967" s="3"/>
      <c r="Z1967" s="3"/>
      <c r="AA1967" s="3"/>
      <c r="AB1967" s="3"/>
    </row>
    <row r="1968" spans="1:28" x14ac:dyDescent="0.3">
      <c r="A1968" s="2"/>
      <c r="F1968" s="3"/>
      <c r="G1968" s="3"/>
      <c r="N1968" s="3"/>
      <c r="Q1968" s="3"/>
      <c r="R1968" s="3"/>
      <c r="S1968" s="3"/>
      <c r="V1968" s="3"/>
      <c r="W1968" s="3"/>
      <c r="X1968" s="3"/>
      <c r="Y1968" s="3"/>
      <c r="Z1968" s="3"/>
      <c r="AA1968" s="3"/>
      <c r="AB1968" s="3"/>
    </row>
    <row r="1969" spans="1:28" x14ac:dyDescent="0.3">
      <c r="A1969" s="2"/>
      <c r="F1969" s="3"/>
      <c r="G1969" s="3"/>
      <c r="N1969" s="3"/>
      <c r="Q1969" s="3"/>
      <c r="R1969" s="3"/>
      <c r="S1969" s="3"/>
      <c r="V1969" s="3"/>
      <c r="W1969" s="3"/>
      <c r="X1969" s="3"/>
      <c r="Y1969" s="3"/>
      <c r="Z1969" s="3"/>
      <c r="AA1969" s="3"/>
      <c r="AB1969" s="3"/>
    </row>
    <row r="1970" spans="1:28" x14ac:dyDescent="0.3">
      <c r="A1970" s="2"/>
      <c r="F1970" s="3"/>
      <c r="G1970" s="3"/>
      <c r="N1970" s="3"/>
      <c r="Q1970" s="3"/>
      <c r="R1970" s="3"/>
      <c r="S1970" s="3"/>
      <c r="V1970" s="3"/>
      <c r="W1970" s="3"/>
      <c r="X1970" s="3"/>
      <c r="Y1970" s="3"/>
      <c r="Z1970" s="3"/>
      <c r="AA1970" s="3"/>
      <c r="AB1970" s="3"/>
    </row>
    <row r="1971" spans="1:28" x14ac:dyDescent="0.3">
      <c r="A1971" s="2"/>
      <c r="F1971" s="3"/>
      <c r="G1971" s="3"/>
      <c r="N1971" s="3"/>
      <c r="Q1971" s="3"/>
      <c r="R1971" s="3"/>
      <c r="S1971" s="3"/>
      <c r="V1971" s="3"/>
      <c r="W1971" s="3"/>
      <c r="X1971" s="3"/>
      <c r="Y1971" s="3"/>
      <c r="Z1971" s="3"/>
      <c r="AA1971" s="3"/>
      <c r="AB1971" s="3"/>
    </row>
    <row r="1972" spans="1:28" x14ac:dyDescent="0.3">
      <c r="A1972" s="2"/>
      <c r="F1972" s="3"/>
      <c r="G1972" s="3"/>
      <c r="N1972" s="3"/>
      <c r="Q1972" s="3"/>
      <c r="R1972" s="3"/>
      <c r="S1972" s="3"/>
      <c r="V1972" s="3"/>
      <c r="W1972" s="3"/>
      <c r="X1972" s="3"/>
      <c r="Y1972" s="3"/>
      <c r="Z1972" s="3"/>
      <c r="AA1972" s="3"/>
      <c r="AB1972" s="3"/>
    </row>
    <row r="1973" spans="1:28" x14ac:dyDescent="0.3">
      <c r="A1973" s="2"/>
      <c r="F1973" s="3"/>
      <c r="G1973" s="3"/>
      <c r="N1973" s="3"/>
      <c r="Q1973" s="3"/>
      <c r="R1973" s="3"/>
      <c r="S1973" s="3"/>
      <c r="V1973" s="3"/>
      <c r="W1973" s="3"/>
      <c r="X1973" s="3"/>
      <c r="Y1973" s="3"/>
      <c r="Z1973" s="3"/>
      <c r="AA1973" s="3"/>
      <c r="AB1973" s="3"/>
    </row>
    <row r="1974" spans="1:28" x14ac:dyDescent="0.3">
      <c r="A1974" s="2"/>
      <c r="F1974" s="3"/>
      <c r="G1974" s="3"/>
      <c r="N1974" s="3"/>
      <c r="Q1974" s="3"/>
      <c r="R1974" s="3"/>
      <c r="S1974" s="3"/>
      <c r="V1974" s="3"/>
      <c r="W1974" s="3"/>
      <c r="X1974" s="3"/>
      <c r="Y1974" s="3"/>
      <c r="Z1974" s="3"/>
      <c r="AA1974" s="3"/>
      <c r="AB1974" s="3"/>
    </row>
    <row r="1975" spans="1:28" x14ac:dyDescent="0.3">
      <c r="A1975" s="2"/>
      <c r="F1975" s="3"/>
      <c r="G1975" s="3"/>
      <c r="N1975" s="3"/>
      <c r="Q1975" s="3"/>
      <c r="R1975" s="3"/>
      <c r="S1975" s="3"/>
      <c r="V1975" s="3"/>
      <c r="W1975" s="3"/>
      <c r="X1975" s="3"/>
      <c r="Y1975" s="3"/>
      <c r="Z1975" s="3"/>
      <c r="AA1975" s="3"/>
      <c r="AB1975" s="3"/>
    </row>
    <row r="1976" spans="1:28" x14ac:dyDescent="0.3">
      <c r="A1976" s="2"/>
      <c r="F1976" s="3"/>
      <c r="G1976" s="3"/>
      <c r="N1976" s="3"/>
      <c r="Q1976" s="3"/>
      <c r="R1976" s="3"/>
      <c r="S1976" s="3"/>
      <c r="V1976" s="3"/>
      <c r="W1976" s="3"/>
      <c r="X1976" s="3"/>
      <c r="Y1976" s="3"/>
      <c r="Z1976" s="3"/>
      <c r="AA1976" s="3"/>
      <c r="AB1976" s="3"/>
    </row>
    <row r="1977" spans="1:28" x14ac:dyDescent="0.3">
      <c r="A1977" s="2"/>
      <c r="F1977" s="3"/>
      <c r="G1977" s="3"/>
      <c r="N1977" s="3"/>
      <c r="Q1977" s="3"/>
      <c r="R1977" s="3"/>
      <c r="S1977" s="3"/>
      <c r="V1977" s="3"/>
      <c r="W1977" s="3"/>
      <c r="X1977" s="3"/>
      <c r="Y1977" s="3"/>
      <c r="Z1977" s="3"/>
      <c r="AA1977" s="3"/>
      <c r="AB1977" s="3"/>
    </row>
    <row r="1978" spans="1:28" x14ac:dyDescent="0.3">
      <c r="A1978" s="2"/>
      <c r="F1978" s="3"/>
      <c r="G1978" s="3"/>
      <c r="N1978" s="3"/>
      <c r="Q1978" s="3"/>
      <c r="R1978" s="3"/>
      <c r="S1978" s="3"/>
      <c r="V1978" s="3"/>
      <c r="W1978" s="3"/>
      <c r="X1978" s="3"/>
      <c r="Y1978" s="3"/>
      <c r="Z1978" s="3"/>
      <c r="AA1978" s="3"/>
      <c r="AB1978" s="3"/>
    </row>
    <row r="1979" spans="1:28" x14ac:dyDescent="0.3">
      <c r="A1979" s="2"/>
      <c r="F1979" s="3"/>
      <c r="G1979" s="3"/>
      <c r="N1979" s="3"/>
      <c r="Q1979" s="3"/>
      <c r="R1979" s="3"/>
      <c r="S1979" s="3"/>
      <c r="V1979" s="3"/>
      <c r="W1979" s="3"/>
      <c r="X1979" s="3"/>
      <c r="Y1979" s="3"/>
      <c r="Z1979" s="3"/>
      <c r="AA1979" s="3"/>
      <c r="AB1979" s="3"/>
    </row>
    <row r="1980" spans="1:28" x14ac:dyDescent="0.3">
      <c r="A1980" s="2"/>
      <c r="F1980" s="3"/>
      <c r="G1980" s="3"/>
      <c r="N1980" s="3"/>
      <c r="Q1980" s="3"/>
      <c r="R1980" s="3"/>
      <c r="S1980" s="3"/>
      <c r="V1980" s="3"/>
      <c r="W1980" s="3"/>
      <c r="X1980" s="3"/>
      <c r="Y1980" s="3"/>
      <c r="Z1980" s="3"/>
      <c r="AA1980" s="3"/>
      <c r="AB1980" s="3"/>
    </row>
    <row r="1981" spans="1:28" x14ac:dyDescent="0.3">
      <c r="A1981" s="2"/>
      <c r="F1981" s="3"/>
      <c r="G1981" s="3"/>
      <c r="N1981" s="3"/>
      <c r="Q1981" s="3"/>
      <c r="R1981" s="3"/>
      <c r="S1981" s="3"/>
      <c r="V1981" s="3"/>
      <c r="W1981" s="3"/>
      <c r="X1981" s="3"/>
      <c r="Y1981" s="3"/>
      <c r="Z1981" s="3"/>
      <c r="AA1981" s="3"/>
      <c r="AB1981" s="3"/>
    </row>
    <row r="1982" spans="1:28" x14ac:dyDescent="0.3">
      <c r="A1982" s="2"/>
      <c r="F1982" s="3"/>
      <c r="G1982" s="3"/>
      <c r="N1982" s="3"/>
      <c r="Q1982" s="3"/>
      <c r="R1982" s="3"/>
      <c r="S1982" s="3"/>
      <c r="V1982" s="3"/>
      <c r="W1982" s="3"/>
      <c r="X1982" s="3"/>
      <c r="Y1982" s="3"/>
      <c r="Z1982" s="3"/>
      <c r="AA1982" s="3"/>
      <c r="AB1982" s="3"/>
    </row>
    <row r="1983" spans="1:28" x14ac:dyDescent="0.3">
      <c r="A1983" s="2"/>
      <c r="F1983" s="3"/>
      <c r="G1983" s="3"/>
      <c r="N1983" s="3"/>
      <c r="Q1983" s="3"/>
      <c r="R1983" s="3"/>
      <c r="S1983" s="3"/>
      <c r="V1983" s="3"/>
      <c r="W1983" s="3"/>
      <c r="X1983" s="3"/>
      <c r="Y1983" s="3"/>
      <c r="Z1983" s="3"/>
      <c r="AA1983" s="3"/>
      <c r="AB1983" s="3"/>
    </row>
    <row r="1984" spans="1:28" x14ac:dyDescent="0.3">
      <c r="A1984" s="2"/>
      <c r="F1984" s="3"/>
      <c r="G1984" s="3"/>
      <c r="N1984" s="3"/>
      <c r="Q1984" s="3"/>
      <c r="R1984" s="3"/>
      <c r="S1984" s="3"/>
      <c r="V1984" s="3"/>
      <c r="W1984" s="3"/>
      <c r="X1984" s="3"/>
      <c r="Y1984" s="3"/>
      <c r="Z1984" s="3"/>
      <c r="AA1984" s="3"/>
      <c r="AB1984" s="3"/>
    </row>
    <row r="1985" spans="1:28" x14ac:dyDescent="0.3">
      <c r="A1985" s="2"/>
      <c r="F1985" s="3"/>
      <c r="G1985" s="3"/>
      <c r="N1985" s="3"/>
      <c r="Q1985" s="3"/>
      <c r="R1985" s="3"/>
      <c r="S1985" s="3"/>
      <c r="V1985" s="3"/>
      <c r="W1985" s="3"/>
      <c r="X1985" s="3"/>
      <c r="Y1985" s="3"/>
      <c r="Z1985" s="3"/>
      <c r="AA1985" s="3"/>
      <c r="AB1985" s="3"/>
    </row>
    <row r="1986" spans="1:28" x14ac:dyDescent="0.3">
      <c r="A1986" s="2"/>
      <c r="F1986" s="3"/>
      <c r="G1986" s="3"/>
      <c r="N1986" s="3"/>
      <c r="Q1986" s="3"/>
      <c r="R1986" s="3"/>
      <c r="S1986" s="3"/>
      <c r="V1986" s="3"/>
      <c r="W1986" s="3"/>
      <c r="X1986" s="3"/>
      <c r="Y1986" s="3"/>
      <c r="Z1986" s="3"/>
      <c r="AA1986" s="3"/>
      <c r="AB1986" s="3"/>
    </row>
    <row r="1987" spans="1:28" x14ac:dyDescent="0.3">
      <c r="A1987" s="2"/>
      <c r="F1987" s="3"/>
      <c r="G1987" s="3"/>
      <c r="N1987" s="3"/>
      <c r="Q1987" s="3"/>
      <c r="R1987" s="3"/>
      <c r="S1987" s="3"/>
      <c r="V1987" s="3"/>
      <c r="W1987" s="3"/>
      <c r="X1987" s="3"/>
      <c r="Y1987" s="3"/>
      <c r="Z1987" s="3"/>
      <c r="AA1987" s="3"/>
      <c r="AB1987" s="3"/>
    </row>
    <row r="1988" spans="1:28" x14ac:dyDescent="0.3">
      <c r="A1988" s="2"/>
      <c r="F1988" s="3"/>
      <c r="G1988" s="3"/>
      <c r="N1988" s="3"/>
      <c r="Q1988" s="3"/>
      <c r="R1988" s="3"/>
      <c r="S1988" s="3"/>
      <c r="V1988" s="3"/>
      <c r="W1988" s="3"/>
      <c r="X1988" s="3"/>
      <c r="Y1988" s="3"/>
      <c r="Z1988" s="3"/>
      <c r="AA1988" s="3"/>
      <c r="AB1988" s="3"/>
    </row>
    <row r="1989" spans="1:28" x14ac:dyDescent="0.3">
      <c r="A1989" s="2"/>
      <c r="F1989" s="3"/>
      <c r="G1989" s="3"/>
      <c r="N1989" s="3"/>
      <c r="Q1989" s="3"/>
      <c r="R1989" s="3"/>
      <c r="S1989" s="3"/>
      <c r="V1989" s="3"/>
      <c r="W1989" s="3"/>
      <c r="X1989" s="3"/>
      <c r="Y1989" s="3"/>
      <c r="Z1989" s="3"/>
      <c r="AA1989" s="3"/>
      <c r="AB1989" s="3"/>
    </row>
    <row r="1990" spans="1:28" x14ac:dyDescent="0.3">
      <c r="A1990" s="2"/>
      <c r="F1990" s="3"/>
      <c r="G1990" s="3"/>
      <c r="N1990" s="3"/>
      <c r="Q1990" s="3"/>
      <c r="R1990" s="3"/>
      <c r="S1990" s="3"/>
      <c r="V1990" s="3"/>
      <c r="W1990" s="3"/>
      <c r="X1990" s="3"/>
      <c r="Y1990" s="3"/>
      <c r="Z1990" s="3"/>
      <c r="AA1990" s="3"/>
      <c r="AB1990" s="3"/>
    </row>
    <row r="1991" spans="1:28" x14ac:dyDescent="0.3">
      <c r="A1991" s="2"/>
      <c r="F1991" s="3"/>
      <c r="G1991" s="3"/>
      <c r="N1991" s="3"/>
      <c r="Q1991" s="3"/>
      <c r="R1991" s="3"/>
      <c r="S1991" s="3"/>
      <c r="V1991" s="3"/>
      <c r="W1991" s="3"/>
      <c r="X1991" s="3"/>
      <c r="Y1991" s="3"/>
      <c r="Z1991" s="3"/>
      <c r="AA1991" s="3"/>
      <c r="AB1991" s="3"/>
    </row>
    <row r="1992" spans="1:28" x14ac:dyDescent="0.3">
      <c r="A1992" s="2"/>
      <c r="F1992" s="3"/>
      <c r="G1992" s="3"/>
      <c r="N1992" s="3"/>
      <c r="Q1992" s="3"/>
      <c r="R1992" s="3"/>
      <c r="S1992" s="3"/>
      <c r="V1992" s="3"/>
      <c r="W1992" s="3"/>
      <c r="X1992" s="3"/>
      <c r="Y1992" s="3"/>
      <c r="Z1992" s="3"/>
      <c r="AA1992" s="3"/>
      <c r="AB1992" s="3"/>
    </row>
    <row r="1993" spans="1:28" x14ac:dyDescent="0.3">
      <c r="A1993" s="2"/>
      <c r="F1993" s="3"/>
      <c r="G1993" s="3"/>
      <c r="N1993" s="3"/>
      <c r="Q1993" s="3"/>
      <c r="R1993" s="3"/>
      <c r="S1993" s="3"/>
      <c r="V1993" s="3"/>
      <c r="W1993" s="3"/>
      <c r="X1993" s="3"/>
      <c r="Y1993" s="3"/>
      <c r="Z1993" s="3"/>
      <c r="AA1993" s="3"/>
      <c r="AB1993" s="3"/>
    </row>
    <row r="1994" spans="1:28" x14ac:dyDescent="0.3">
      <c r="A1994" s="2"/>
      <c r="F1994" s="3"/>
      <c r="G1994" s="3"/>
      <c r="N1994" s="3"/>
      <c r="Q1994" s="3"/>
      <c r="R1994" s="3"/>
      <c r="S1994" s="3"/>
      <c r="V1994" s="3"/>
      <c r="W1994" s="3"/>
      <c r="X1994" s="3"/>
      <c r="Y1994" s="3"/>
      <c r="Z1994" s="3"/>
      <c r="AA1994" s="3"/>
      <c r="AB1994" s="3"/>
    </row>
    <row r="1995" spans="1:28" x14ac:dyDescent="0.3">
      <c r="A1995" s="2"/>
      <c r="F1995" s="3"/>
      <c r="G1995" s="3"/>
      <c r="N1995" s="3"/>
      <c r="Q1995" s="3"/>
      <c r="R1995" s="3"/>
      <c r="S1995" s="3"/>
      <c r="V1995" s="3"/>
      <c r="W1995" s="3"/>
      <c r="X1995" s="3"/>
      <c r="Y1995" s="3"/>
      <c r="Z1995" s="3"/>
      <c r="AA1995" s="3"/>
      <c r="AB1995" s="3"/>
    </row>
    <row r="1996" spans="1:28" x14ac:dyDescent="0.3">
      <c r="A1996" s="2"/>
      <c r="F1996" s="3"/>
      <c r="G1996" s="3"/>
      <c r="N1996" s="3"/>
      <c r="Q1996" s="3"/>
      <c r="R1996" s="3"/>
      <c r="S1996" s="3"/>
      <c r="V1996" s="3"/>
      <c r="W1996" s="3"/>
      <c r="X1996" s="3"/>
      <c r="Y1996" s="3"/>
      <c r="Z1996" s="3"/>
      <c r="AA1996" s="3"/>
      <c r="AB1996" s="3"/>
    </row>
    <row r="1997" spans="1:28" x14ac:dyDescent="0.3">
      <c r="A1997" s="2"/>
      <c r="F1997" s="3"/>
      <c r="G1997" s="3"/>
      <c r="N1997" s="3"/>
      <c r="Q1997" s="3"/>
      <c r="R1997" s="3"/>
      <c r="S1997" s="3"/>
      <c r="V1997" s="3"/>
      <c r="W1997" s="3"/>
      <c r="X1997" s="3"/>
      <c r="Y1997" s="3"/>
      <c r="Z1997" s="3"/>
      <c r="AA1997" s="3"/>
      <c r="AB1997" s="3"/>
    </row>
    <row r="1998" spans="1:28" x14ac:dyDescent="0.3">
      <c r="A1998" s="2"/>
      <c r="F1998" s="3"/>
      <c r="G1998" s="3"/>
      <c r="N1998" s="3"/>
      <c r="Q1998" s="3"/>
      <c r="R1998" s="3"/>
      <c r="S1998" s="3"/>
      <c r="V1998" s="3"/>
      <c r="W1998" s="3"/>
      <c r="X1998" s="3"/>
      <c r="Y1998" s="3"/>
      <c r="Z1998" s="3"/>
      <c r="AA1998" s="3"/>
      <c r="AB1998" s="3"/>
    </row>
    <row r="1999" spans="1:28" x14ac:dyDescent="0.3">
      <c r="A1999" s="2"/>
      <c r="F1999" s="3"/>
      <c r="G1999" s="3"/>
      <c r="N1999" s="3"/>
      <c r="Q1999" s="3"/>
      <c r="R1999" s="3"/>
      <c r="S1999" s="3"/>
      <c r="V1999" s="3"/>
      <c r="W1999" s="3"/>
      <c r="X1999" s="3"/>
      <c r="Y1999" s="3"/>
      <c r="Z1999" s="3"/>
      <c r="AA1999" s="3"/>
      <c r="AB1999" s="3"/>
    </row>
    <row r="2000" spans="1:28" x14ac:dyDescent="0.3">
      <c r="A2000" s="2"/>
      <c r="F2000" s="3"/>
      <c r="G2000" s="3"/>
      <c r="N2000" s="3"/>
      <c r="Q2000" s="3"/>
      <c r="R2000" s="3"/>
      <c r="S2000" s="3"/>
      <c r="V2000" s="3"/>
      <c r="W2000" s="3"/>
      <c r="X2000" s="3"/>
      <c r="Y2000" s="3"/>
      <c r="Z2000" s="3"/>
      <c r="AA2000" s="3"/>
      <c r="AB2000" s="3"/>
    </row>
    <row r="2001" spans="1:28" x14ac:dyDescent="0.3">
      <c r="A2001" s="2"/>
      <c r="F2001" s="3"/>
      <c r="G2001" s="3"/>
      <c r="N2001" s="3"/>
      <c r="Q2001" s="3"/>
      <c r="R2001" s="3"/>
      <c r="S2001" s="3"/>
      <c r="V2001" s="3"/>
      <c r="W2001" s="3"/>
      <c r="X2001" s="3"/>
      <c r="Y2001" s="3"/>
      <c r="Z2001" s="3"/>
      <c r="AA2001" s="3"/>
      <c r="AB2001" s="3"/>
    </row>
    <row r="2002" spans="1:28" x14ac:dyDescent="0.3">
      <c r="A2002" s="2"/>
      <c r="F2002" s="3"/>
      <c r="G2002" s="3"/>
      <c r="N2002" s="3"/>
      <c r="Q2002" s="3"/>
      <c r="R2002" s="3"/>
      <c r="S2002" s="3"/>
      <c r="V2002" s="3"/>
      <c r="W2002" s="3"/>
      <c r="X2002" s="3"/>
      <c r="Y2002" s="3"/>
      <c r="Z2002" s="3"/>
      <c r="AA2002" s="3"/>
      <c r="AB2002" s="3"/>
    </row>
    <row r="2003" spans="1:28" x14ac:dyDescent="0.3">
      <c r="A2003" s="2"/>
      <c r="F2003" s="3"/>
      <c r="G2003" s="3"/>
      <c r="N2003" s="3"/>
      <c r="Q2003" s="3"/>
      <c r="R2003" s="3"/>
      <c r="S2003" s="3"/>
      <c r="V2003" s="3"/>
      <c r="W2003" s="3"/>
      <c r="X2003" s="3"/>
      <c r="Y2003" s="3"/>
      <c r="Z2003" s="3"/>
      <c r="AA2003" s="3"/>
      <c r="AB2003" s="3"/>
    </row>
    <row r="2004" spans="1:28" x14ac:dyDescent="0.3">
      <c r="A2004" s="2"/>
      <c r="F2004" s="3"/>
      <c r="G2004" s="3"/>
      <c r="N2004" s="3"/>
      <c r="Q2004" s="3"/>
      <c r="R2004" s="3"/>
      <c r="S2004" s="3"/>
      <c r="V2004" s="3"/>
      <c r="W2004" s="3"/>
      <c r="X2004" s="3"/>
      <c r="Y2004" s="3"/>
      <c r="Z2004" s="3"/>
      <c r="AA2004" s="3"/>
      <c r="AB2004" s="3"/>
    </row>
    <row r="2005" spans="1:28" x14ac:dyDescent="0.3">
      <c r="A2005" s="2"/>
      <c r="F2005" s="3"/>
      <c r="G2005" s="3"/>
      <c r="N2005" s="3"/>
      <c r="Q2005" s="3"/>
      <c r="R2005" s="3"/>
      <c r="S2005" s="3"/>
      <c r="V2005" s="3"/>
      <c r="W2005" s="3"/>
      <c r="X2005" s="3"/>
      <c r="Y2005" s="3"/>
      <c r="Z2005" s="3"/>
      <c r="AA2005" s="3"/>
      <c r="AB2005" s="3"/>
    </row>
    <row r="2006" spans="1:28" x14ac:dyDescent="0.3">
      <c r="A2006" s="2"/>
      <c r="F2006" s="3"/>
      <c r="G2006" s="3"/>
      <c r="N2006" s="3"/>
      <c r="Q2006" s="3"/>
      <c r="R2006" s="3"/>
      <c r="S2006" s="3"/>
      <c r="V2006" s="3"/>
      <c r="W2006" s="3"/>
      <c r="X2006" s="3"/>
      <c r="Y2006" s="3"/>
      <c r="Z2006" s="3"/>
      <c r="AA2006" s="3"/>
      <c r="AB2006" s="3"/>
    </row>
    <row r="2007" spans="1:28" x14ac:dyDescent="0.3">
      <c r="A2007" s="2"/>
      <c r="F2007" s="3"/>
      <c r="G2007" s="3"/>
      <c r="N2007" s="3"/>
      <c r="Q2007" s="3"/>
      <c r="R2007" s="3"/>
      <c r="S2007" s="3"/>
      <c r="V2007" s="3"/>
      <c r="W2007" s="3"/>
      <c r="X2007" s="3"/>
      <c r="Y2007" s="3"/>
      <c r="Z2007" s="3"/>
      <c r="AA2007" s="3"/>
      <c r="AB2007" s="3"/>
    </row>
    <row r="2008" spans="1:28" x14ac:dyDescent="0.3">
      <c r="A2008" s="2"/>
      <c r="F2008" s="3"/>
      <c r="G2008" s="3"/>
      <c r="N2008" s="3"/>
      <c r="Q2008" s="3"/>
      <c r="R2008" s="3"/>
      <c r="S2008" s="3"/>
      <c r="V2008" s="3"/>
      <c r="W2008" s="3"/>
      <c r="X2008" s="3"/>
      <c r="Y2008" s="3"/>
      <c r="Z2008" s="3"/>
      <c r="AA2008" s="3"/>
      <c r="AB2008" s="3"/>
    </row>
    <row r="2009" spans="1:28" x14ac:dyDescent="0.3">
      <c r="A2009" s="2"/>
      <c r="F2009" s="3"/>
      <c r="G2009" s="3"/>
      <c r="N2009" s="3"/>
      <c r="Q2009" s="3"/>
      <c r="R2009" s="3"/>
      <c r="S2009" s="3"/>
      <c r="V2009" s="3"/>
      <c r="W2009" s="3"/>
      <c r="X2009" s="3"/>
      <c r="Y2009" s="3"/>
      <c r="Z2009" s="3"/>
      <c r="AA2009" s="3"/>
      <c r="AB2009" s="3"/>
    </row>
    <row r="2010" spans="1:28" x14ac:dyDescent="0.3">
      <c r="A2010" s="2"/>
      <c r="F2010" s="3"/>
      <c r="G2010" s="3"/>
      <c r="N2010" s="3"/>
      <c r="Q2010" s="3"/>
      <c r="R2010" s="3"/>
      <c r="S2010" s="3"/>
      <c r="V2010" s="3"/>
      <c r="W2010" s="3"/>
      <c r="X2010" s="3"/>
      <c r="Y2010" s="3"/>
      <c r="Z2010" s="3"/>
      <c r="AA2010" s="3"/>
      <c r="AB2010" s="3"/>
    </row>
    <row r="2011" spans="1:28" x14ac:dyDescent="0.3">
      <c r="A2011" s="2"/>
      <c r="F2011" s="3"/>
      <c r="G2011" s="3"/>
      <c r="N2011" s="3"/>
      <c r="Q2011" s="3"/>
      <c r="R2011" s="3"/>
      <c r="S2011" s="3"/>
      <c r="V2011" s="3"/>
      <c r="W2011" s="3"/>
      <c r="X2011" s="3"/>
      <c r="Y2011" s="3"/>
      <c r="Z2011" s="3"/>
      <c r="AA2011" s="3"/>
      <c r="AB2011" s="3"/>
    </row>
    <row r="2012" spans="1:28" x14ac:dyDescent="0.3">
      <c r="A2012" s="2"/>
      <c r="F2012" s="3"/>
      <c r="G2012" s="3"/>
      <c r="N2012" s="3"/>
      <c r="Q2012" s="3"/>
      <c r="R2012" s="3"/>
      <c r="S2012" s="3"/>
      <c r="V2012" s="3"/>
      <c r="W2012" s="3"/>
      <c r="X2012" s="3"/>
      <c r="Y2012" s="3"/>
      <c r="Z2012" s="3"/>
      <c r="AA2012" s="3"/>
      <c r="AB2012" s="3"/>
    </row>
    <row r="2013" spans="1:28" x14ac:dyDescent="0.3">
      <c r="A2013" s="2"/>
      <c r="F2013" s="3"/>
      <c r="G2013" s="3"/>
      <c r="N2013" s="3"/>
      <c r="Q2013" s="3"/>
      <c r="R2013" s="3"/>
      <c r="S2013" s="3"/>
      <c r="V2013" s="3"/>
      <c r="W2013" s="3"/>
      <c r="X2013" s="3"/>
      <c r="Y2013" s="3"/>
      <c r="Z2013" s="3"/>
      <c r="AA2013" s="3"/>
      <c r="AB2013" s="3"/>
    </row>
    <row r="2014" spans="1:28" x14ac:dyDescent="0.3">
      <c r="A2014" s="2"/>
      <c r="F2014" s="3"/>
      <c r="G2014" s="3"/>
      <c r="N2014" s="3"/>
      <c r="Q2014" s="3"/>
      <c r="R2014" s="3"/>
      <c r="S2014" s="3"/>
      <c r="V2014" s="3"/>
      <c r="W2014" s="3"/>
      <c r="X2014" s="3"/>
      <c r="Y2014" s="3"/>
      <c r="Z2014" s="3"/>
      <c r="AA2014" s="3"/>
      <c r="AB2014" s="3"/>
    </row>
    <row r="2015" spans="1:28" x14ac:dyDescent="0.3">
      <c r="A2015" s="2"/>
      <c r="F2015" s="3"/>
      <c r="G2015" s="3"/>
      <c r="N2015" s="3"/>
      <c r="Q2015" s="3"/>
      <c r="R2015" s="3"/>
      <c r="S2015" s="3"/>
      <c r="V2015" s="3"/>
      <c r="W2015" s="3"/>
      <c r="X2015" s="3"/>
      <c r="Y2015" s="3"/>
      <c r="Z2015" s="3"/>
      <c r="AA2015" s="3"/>
      <c r="AB2015" s="3"/>
    </row>
    <row r="2016" spans="1:28" x14ac:dyDescent="0.3">
      <c r="A2016" s="2"/>
      <c r="F2016" s="3"/>
      <c r="G2016" s="3"/>
      <c r="N2016" s="3"/>
      <c r="Q2016" s="3"/>
      <c r="R2016" s="3"/>
      <c r="S2016" s="3"/>
      <c r="V2016" s="3"/>
      <c r="W2016" s="3"/>
      <c r="X2016" s="3"/>
      <c r="Y2016" s="3"/>
      <c r="Z2016" s="3"/>
      <c r="AA2016" s="3"/>
      <c r="AB2016" s="3"/>
    </row>
    <row r="2017" spans="1:28" x14ac:dyDescent="0.3">
      <c r="A2017" s="2"/>
      <c r="F2017" s="3"/>
      <c r="G2017" s="3"/>
      <c r="N2017" s="3"/>
      <c r="Q2017" s="3"/>
      <c r="R2017" s="3"/>
      <c r="S2017" s="3"/>
      <c r="V2017" s="3"/>
      <c r="W2017" s="3"/>
      <c r="X2017" s="3"/>
      <c r="Y2017" s="3"/>
      <c r="Z2017" s="3"/>
      <c r="AA2017" s="3"/>
      <c r="AB2017" s="3"/>
    </row>
    <row r="2018" spans="1:28" x14ac:dyDescent="0.3">
      <c r="A2018" s="2"/>
      <c r="F2018" s="3"/>
      <c r="G2018" s="3"/>
      <c r="N2018" s="3"/>
      <c r="Q2018" s="3"/>
      <c r="R2018" s="3"/>
      <c r="S2018" s="3"/>
      <c r="V2018" s="3"/>
      <c r="W2018" s="3"/>
      <c r="X2018" s="3"/>
      <c r="Y2018" s="3"/>
      <c r="Z2018" s="3"/>
      <c r="AA2018" s="3"/>
      <c r="AB2018" s="3"/>
    </row>
    <row r="2019" spans="1:28" x14ac:dyDescent="0.3">
      <c r="A2019" s="2"/>
      <c r="F2019" s="3"/>
      <c r="G2019" s="3"/>
      <c r="N2019" s="3"/>
      <c r="Q2019" s="3"/>
      <c r="R2019" s="3"/>
      <c r="S2019" s="3"/>
      <c r="V2019" s="3"/>
      <c r="W2019" s="3"/>
      <c r="X2019" s="3"/>
      <c r="Y2019" s="3"/>
      <c r="Z2019" s="3"/>
      <c r="AA2019" s="3"/>
      <c r="AB2019" s="3"/>
    </row>
    <row r="2020" spans="1:28" x14ac:dyDescent="0.3">
      <c r="A2020" s="2"/>
      <c r="F2020" s="3"/>
      <c r="G2020" s="3"/>
      <c r="N2020" s="3"/>
      <c r="Q2020" s="3"/>
      <c r="R2020" s="3"/>
      <c r="S2020" s="3"/>
      <c r="V2020" s="3"/>
      <c r="W2020" s="3"/>
      <c r="X2020" s="3"/>
      <c r="Y2020" s="3"/>
      <c r="Z2020" s="3"/>
      <c r="AA2020" s="3"/>
      <c r="AB2020" s="3"/>
    </row>
    <row r="2021" spans="1:28" x14ac:dyDescent="0.3">
      <c r="A2021" s="2"/>
      <c r="F2021" s="3"/>
      <c r="G2021" s="3"/>
      <c r="N2021" s="3"/>
      <c r="Q2021" s="3"/>
      <c r="R2021" s="3"/>
      <c r="S2021" s="3"/>
      <c r="V2021" s="3"/>
      <c r="W2021" s="3"/>
      <c r="X2021" s="3"/>
      <c r="Y2021" s="3"/>
      <c r="Z2021" s="3"/>
      <c r="AA2021" s="3"/>
      <c r="AB2021" s="3"/>
    </row>
    <row r="2022" spans="1:28" x14ac:dyDescent="0.3">
      <c r="A2022" s="2"/>
      <c r="F2022" s="3"/>
      <c r="G2022" s="3"/>
      <c r="N2022" s="3"/>
      <c r="Q2022" s="3"/>
      <c r="R2022" s="3"/>
      <c r="S2022" s="3"/>
      <c r="V2022" s="3"/>
      <c r="W2022" s="3"/>
      <c r="X2022" s="3"/>
      <c r="Y2022" s="3"/>
      <c r="Z2022" s="3"/>
      <c r="AA2022" s="3"/>
      <c r="AB2022" s="3"/>
    </row>
    <row r="2023" spans="1:28" x14ac:dyDescent="0.3">
      <c r="A2023" s="2"/>
      <c r="F2023" s="3"/>
      <c r="G2023" s="3"/>
      <c r="N2023" s="3"/>
      <c r="Q2023" s="3"/>
      <c r="R2023" s="3"/>
      <c r="S2023" s="3"/>
      <c r="V2023" s="3"/>
      <c r="W2023" s="3"/>
      <c r="X2023" s="3"/>
      <c r="Y2023" s="3"/>
      <c r="Z2023" s="3"/>
      <c r="AA2023" s="3"/>
      <c r="AB2023" s="3"/>
    </row>
    <row r="2024" spans="1:28" x14ac:dyDescent="0.3">
      <c r="A2024" s="2"/>
      <c r="F2024" s="3"/>
      <c r="G2024" s="3"/>
      <c r="N2024" s="3"/>
      <c r="Q2024" s="3"/>
      <c r="R2024" s="3"/>
      <c r="S2024" s="3"/>
      <c r="V2024" s="3"/>
      <c r="W2024" s="3"/>
      <c r="X2024" s="3"/>
      <c r="Y2024" s="3"/>
      <c r="Z2024" s="3"/>
      <c r="AA2024" s="3"/>
      <c r="AB2024" s="3"/>
    </row>
    <row r="2025" spans="1:28" x14ac:dyDescent="0.3">
      <c r="A2025" s="2"/>
      <c r="F2025" s="3"/>
      <c r="G2025" s="3"/>
      <c r="N2025" s="3"/>
      <c r="Q2025" s="3"/>
      <c r="R2025" s="3"/>
      <c r="S2025" s="3"/>
      <c r="V2025" s="3"/>
      <c r="W2025" s="3"/>
      <c r="X2025" s="3"/>
      <c r="Y2025" s="3"/>
      <c r="Z2025" s="3"/>
      <c r="AA2025" s="3"/>
      <c r="AB2025" s="3"/>
    </row>
    <row r="2026" spans="1:28" x14ac:dyDescent="0.3">
      <c r="A2026" s="2"/>
      <c r="F2026" s="3"/>
      <c r="G2026" s="3"/>
      <c r="N2026" s="3"/>
      <c r="Q2026" s="3"/>
      <c r="R2026" s="3"/>
      <c r="S2026" s="3"/>
      <c r="V2026" s="3"/>
      <c r="W2026" s="3"/>
      <c r="X2026" s="3"/>
      <c r="Y2026" s="3"/>
      <c r="Z2026" s="3"/>
      <c r="AA2026" s="3"/>
      <c r="AB2026" s="3"/>
    </row>
    <row r="2027" spans="1:28" x14ac:dyDescent="0.3">
      <c r="A2027" s="2"/>
      <c r="F2027" s="3"/>
      <c r="G2027" s="3"/>
      <c r="N2027" s="3"/>
      <c r="Q2027" s="3"/>
      <c r="R2027" s="3"/>
      <c r="S2027" s="3"/>
      <c r="V2027" s="3"/>
      <c r="W2027" s="3"/>
      <c r="X2027" s="3"/>
      <c r="Y2027" s="3"/>
      <c r="Z2027" s="3"/>
      <c r="AA2027" s="3"/>
      <c r="AB2027" s="3"/>
    </row>
    <row r="2028" spans="1:28" x14ac:dyDescent="0.3">
      <c r="A2028" s="2"/>
      <c r="F2028" s="3"/>
      <c r="G2028" s="3"/>
      <c r="N2028" s="3"/>
      <c r="Q2028" s="3"/>
      <c r="R2028" s="3"/>
      <c r="S2028" s="3"/>
      <c r="V2028" s="3"/>
      <c r="W2028" s="3"/>
      <c r="X2028" s="3"/>
      <c r="Y2028" s="3"/>
      <c r="Z2028" s="3"/>
      <c r="AA2028" s="3"/>
      <c r="AB2028" s="3"/>
    </row>
    <row r="2029" spans="1:28" x14ac:dyDescent="0.3">
      <c r="A2029" s="2"/>
      <c r="F2029" s="3"/>
      <c r="G2029" s="3"/>
      <c r="N2029" s="3"/>
      <c r="Q2029" s="3"/>
      <c r="R2029" s="3"/>
      <c r="S2029" s="3"/>
      <c r="V2029" s="3"/>
      <c r="W2029" s="3"/>
      <c r="X2029" s="3"/>
      <c r="Y2029" s="3"/>
      <c r="Z2029" s="3"/>
      <c r="AA2029" s="3"/>
      <c r="AB2029" s="3"/>
    </row>
    <row r="2030" spans="1:28" x14ac:dyDescent="0.3">
      <c r="A2030" s="2"/>
      <c r="F2030" s="3"/>
      <c r="G2030" s="3"/>
      <c r="N2030" s="3"/>
      <c r="Q2030" s="3"/>
      <c r="R2030" s="3"/>
      <c r="S2030" s="3"/>
      <c r="V2030" s="3"/>
      <c r="W2030" s="3"/>
      <c r="X2030" s="3"/>
      <c r="Y2030" s="3"/>
      <c r="Z2030" s="3"/>
      <c r="AA2030" s="3"/>
      <c r="AB2030" s="3"/>
    </row>
    <row r="2031" spans="1:28" x14ac:dyDescent="0.3">
      <c r="A2031" s="2"/>
      <c r="F2031" s="3"/>
      <c r="G2031" s="3"/>
      <c r="N2031" s="3"/>
      <c r="Q2031" s="3"/>
      <c r="R2031" s="3"/>
      <c r="S2031" s="3"/>
      <c r="V2031" s="3"/>
      <c r="W2031" s="3"/>
      <c r="X2031" s="3"/>
      <c r="Y2031" s="3"/>
      <c r="Z2031" s="3"/>
      <c r="AA2031" s="3"/>
      <c r="AB2031" s="3"/>
    </row>
    <row r="2032" spans="1:28" x14ac:dyDescent="0.3">
      <c r="A2032" s="2"/>
      <c r="F2032" s="3"/>
      <c r="G2032" s="3"/>
      <c r="N2032" s="3"/>
      <c r="Q2032" s="3"/>
      <c r="R2032" s="3"/>
      <c r="S2032" s="3"/>
      <c r="V2032" s="3"/>
      <c r="W2032" s="3"/>
      <c r="X2032" s="3"/>
      <c r="Y2032" s="3"/>
      <c r="Z2032" s="3"/>
      <c r="AA2032" s="3"/>
      <c r="AB2032" s="3"/>
    </row>
    <row r="2033" spans="1:28" x14ac:dyDescent="0.3">
      <c r="A2033" s="2"/>
      <c r="F2033" s="3"/>
      <c r="G2033" s="3"/>
      <c r="N2033" s="3"/>
      <c r="Q2033" s="3"/>
      <c r="R2033" s="3"/>
      <c r="S2033" s="3"/>
      <c r="V2033" s="3"/>
      <c r="W2033" s="3"/>
      <c r="X2033" s="3"/>
      <c r="Y2033" s="3"/>
      <c r="Z2033" s="3"/>
      <c r="AA2033" s="3"/>
      <c r="AB2033" s="3"/>
    </row>
    <row r="2034" spans="1:28" x14ac:dyDescent="0.3">
      <c r="A2034" s="2"/>
      <c r="F2034" s="3"/>
      <c r="G2034" s="3"/>
      <c r="N2034" s="3"/>
      <c r="Q2034" s="3"/>
      <c r="R2034" s="3"/>
      <c r="S2034" s="3"/>
      <c r="V2034" s="3"/>
      <c r="W2034" s="3"/>
      <c r="X2034" s="3"/>
      <c r="Y2034" s="3"/>
      <c r="Z2034" s="3"/>
      <c r="AA2034" s="3"/>
      <c r="AB2034" s="3"/>
    </row>
    <row r="2035" spans="1:28" x14ac:dyDescent="0.3">
      <c r="A2035" s="2"/>
      <c r="F2035" s="3"/>
      <c r="G2035" s="3"/>
      <c r="N2035" s="3"/>
      <c r="Q2035" s="3"/>
      <c r="R2035" s="3"/>
      <c r="S2035" s="3"/>
      <c r="V2035" s="3"/>
      <c r="W2035" s="3"/>
      <c r="X2035" s="3"/>
      <c r="Y2035" s="3"/>
      <c r="Z2035" s="3"/>
      <c r="AA2035" s="3"/>
      <c r="AB2035" s="3"/>
    </row>
    <row r="2036" spans="1:28" x14ac:dyDescent="0.3">
      <c r="A2036" s="2"/>
      <c r="F2036" s="3"/>
      <c r="G2036" s="3"/>
      <c r="N2036" s="3"/>
      <c r="Q2036" s="3"/>
      <c r="R2036" s="3"/>
      <c r="S2036" s="3"/>
      <c r="V2036" s="3"/>
      <c r="W2036" s="3"/>
      <c r="X2036" s="3"/>
      <c r="Y2036" s="3"/>
      <c r="Z2036" s="3"/>
      <c r="AA2036" s="3"/>
      <c r="AB2036" s="3"/>
    </row>
    <row r="2037" spans="1:28" x14ac:dyDescent="0.3">
      <c r="A2037" s="2"/>
      <c r="F2037" s="3"/>
      <c r="G2037" s="3"/>
      <c r="N2037" s="3"/>
      <c r="Q2037" s="3"/>
      <c r="R2037" s="3"/>
      <c r="S2037" s="3"/>
      <c r="V2037" s="3"/>
      <c r="W2037" s="3"/>
      <c r="X2037" s="3"/>
      <c r="Y2037" s="3"/>
      <c r="Z2037" s="3"/>
      <c r="AA2037" s="3"/>
      <c r="AB2037" s="3"/>
    </row>
    <row r="2038" spans="1:28" x14ac:dyDescent="0.3">
      <c r="A2038" s="2"/>
      <c r="F2038" s="3"/>
      <c r="G2038" s="3"/>
      <c r="N2038" s="3"/>
      <c r="Q2038" s="3"/>
      <c r="R2038" s="3"/>
      <c r="S2038" s="3"/>
      <c r="V2038" s="3"/>
      <c r="W2038" s="3"/>
      <c r="X2038" s="3"/>
      <c r="Y2038" s="3"/>
      <c r="Z2038" s="3"/>
      <c r="AA2038" s="3"/>
      <c r="AB2038" s="3"/>
    </row>
    <row r="2039" spans="1:28" x14ac:dyDescent="0.3">
      <c r="A2039" s="2"/>
      <c r="F2039" s="3"/>
      <c r="G2039" s="3"/>
      <c r="N2039" s="3"/>
      <c r="Q2039" s="3"/>
      <c r="R2039" s="3"/>
      <c r="S2039" s="3"/>
      <c r="V2039" s="3"/>
      <c r="W2039" s="3"/>
      <c r="X2039" s="3"/>
      <c r="Y2039" s="3"/>
      <c r="Z2039" s="3"/>
      <c r="AA2039" s="3"/>
      <c r="AB2039" s="3"/>
    </row>
    <row r="2040" spans="1:28" x14ac:dyDescent="0.3">
      <c r="A2040" s="2"/>
      <c r="F2040" s="3"/>
      <c r="G2040" s="3"/>
      <c r="N2040" s="3"/>
      <c r="Q2040" s="3"/>
      <c r="R2040" s="3"/>
      <c r="S2040" s="3"/>
      <c r="V2040" s="3"/>
      <c r="W2040" s="3"/>
      <c r="X2040" s="3"/>
      <c r="Y2040" s="3"/>
      <c r="Z2040" s="3"/>
      <c r="AA2040" s="3"/>
      <c r="AB2040" s="3"/>
    </row>
    <row r="2041" spans="1:28" x14ac:dyDescent="0.3">
      <c r="A2041" s="2"/>
      <c r="F2041" s="3"/>
      <c r="G2041" s="3"/>
      <c r="N2041" s="3"/>
      <c r="Q2041" s="3"/>
      <c r="R2041" s="3"/>
      <c r="S2041" s="3"/>
      <c r="V2041" s="3"/>
      <c r="W2041" s="3"/>
      <c r="X2041" s="3"/>
      <c r="Y2041" s="3"/>
      <c r="Z2041" s="3"/>
      <c r="AA2041" s="3"/>
      <c r="AB2041" s="3"/>
    </row>
    <row r="2042" spans="1:28" x14ac:dyDescent="0.3">
      <c r="A2042" s="2"/>
      <c r="F2042" s="3"/>
      <c r="G2042" s="3"/>
      <c r="N2042" s="3"/>
      <c r="Q2042" s="3"/>
      <c r="R2042" s="3"/>
      <c r="S2042" s="3"/>
      <c r="V2042" s="3"/>
      <c r="W2042" s="3"/>
      <c r="X2042" s="3"/>
      <c r="Y2042" s="3"/>
      <c r="Z2042" s="3"/>
      <c r="AA2042" s="3"/>
      <c r="AB2042" s="3"/>
    </row>
    <row r="2043" spans="1:28" x14ac:dyDescent="0.3">
      <c r="A2043" s="2"/>
      <c r="F2043" s="3"/>
      <c r="G2043" s="3"/>
      <c r="N2043" s="3"/>
      <c r="Q2043" s="3"/>
      <c r="R2043" s="3"/>
      <c r="S2043" s="3"/>
      <c r="V2043" s="3"/>
      <c r="W2043" s="3"/>
      <c r="X2043" s="3"/>
      <c r="Y2043" s="3"/>
      <c r="Z2043" s="3"/>
      <c r="AA2043" s="3"/>
      <c r="AB2043" s="3"/>
    </row>
    <row r="2044" spans="1:28" x14ac:dyDescent="0.3">
      <c r="A2044" s="2"/>
      <c r="F2044" s="3"/>
      <c r="G2044" s="3"/>
      <c r="N2044" s="3"/>
      <c r="Q2044" s="3"/>
      <c r="R2044" s="3"/>
      <c r="S2044" s="3"/>
      <c r="V2044" s="3"/>
      <c r="W2044" s="3"/>
      <c r="X2044" s="3"/>
      <c r="Y2044" s="3"/>
      <c r="Z2044" s="3"/>
      <c r="AA2044" s="3"/>
      <c r="AB2044" s="3"/>
    </row>
    <row r="2045" spans="1:28" x14ac:dyDescent="0.3">
      <c r="A2045" s="2"/>
      <c r="F2045" s="3"/>
      <c r="G2045" s="3"/>
      <c r="N2045" s="3"/>
      <c r="Q2045" s="3"/>
      <c r="R2045" s="3"/>
      <c r="S2045" s="3"/>
      <c r="V2045" s="3"/>
      <c r="W2045" s="3"/>
      <c r="X2045" s="3"/>
      <c r="Y2045" s="3"/>
      <c r="Z2045" s="3"/>
      <c r="AA2045" s="3"/>
      <c r="AB2045" s="3"/>
    </row>
    <row r="2046" spans="1:28" x14ac:dyDescent="0.3">
      <c r="A2046" s="2"/>
      <c r="F2046" s="3"/>
      <c r="G2046" s="3"/>
      <c r="N2046" s="3"/>
      <c r="Q2046" s="3"/>
      <c r="R2046" s="3"/>
      <c r="S2046" s="3"/>
      <c r="V2046" s="3"/>
      <c r="W2046" s="3"/>
      <c r="X2046" s="3"/>
      <c r="Y2046" s="3"/>
      <c r="Z2046" s="3"/>
      <c r="AA2046" s="3"/>
      <c r="AB2046" s="3"/>
    </row>
    <row r="2047" spans="1:28" x14ac:dyDescent="0.3">
      <c r="A2047" s="2"/>
      <c r="F2047" s="3"/>
      <c r="G2047" s="3"/>
      <c r="N2047" s="3"/>
      <c r="Q2047" s="3"/>
      <c r="R2047" s="3"/>
      <c r="S2047" s="3"/>
      <c r="V2047" s="3"/>
      <c r="W2047" s="3"/>
      <c r="X2047" s="3"/>
      <c r="Y2047" s="3"/>
      <c r="Z2047" s="3"/>
      <c r="AA2047" s="3"/>
      <c r="AB2047" s="3"/>
    </row>
    <row r="2048" spans="1:28" x14ac:dyDescent="0.3">
      <c r="A2048" s="2"/>
      <c r="F2048" s="3"/>
      <c r="G2048" s="3"/>
      <c r="N2048" s="3"/>
      <c r="Q2048" s="3"/>
      <c r="R2048" s="3"/>
      <c r="S2048" s="3"/>
      <c r="V2048" s="3"/>
      <c r="W2048" s="3"/>
      <c r="X2048" s="3"/>
      <c r="Y2048" s="3"/>
      <c r="Z2048" s="3"/>
      <c r="AA2048" s="3"/>
      <c r="AB2048" s="3"/>
    </row>
    <row r="2049" spans="1:28" x14ac:dyDescent="0.3">
      <c r="A2049" s="2"/>
      <c r="F2049" s="3"/>
      <c r="G2049" s="3"/>
      <c r="N2049" s="3"/>
      <c r="Q2049" s="3"/>
      <c r="R2049" s="3"/>
      <c r="S2049" s="3"/>
      <c r="V2049" s="3"/>
      <c r="W2049" s="3"/>
      <c r="X2049" s="3"/>
      <c r="Y2049" s="3"/>
      <c r="Z2049" s="3"/>
      <c r="AA2049" s="3"/>
      <c r="AB2049" s="3"/>
    </row>
    <row r="2050" spans="1:28" x14ac:dyDescent="0.3">
      <c r="A2050" s="2"/>
      <c r="F2050" s="3"/>
      <c r="G2050" s="3"/>
      <c r="N2050" s="3"/>
      <c r="Q2050" s="3"/>
      <c r="R2050" s="3"/>
      <c r="S2050" s="3"/>
      <c r="V2050" s="3"/>
      <c r="W2050" s="3"/>
      <c r="X2050" s="3"/>
      <c r="Y2050" s="3"/>
      <c r="Z2050" s="3"/>
      <c r="AA2050" s="3"/>
      <c r="AB2050" s="3"/>
    </row>
    <row r="2051" spans="1:28" x14ac:dyDescent="0.3">
      <c r="A2051" s="2"/>
      <c r="F2051" s="3"/>
      <c r="G2051" s="3"/>
      <c r="N2051" s="3"/>
      <c r="Q2051" s="3"/>
      <c r="R2051" s="3"/>
      <c r="S2051" s="3"/>
      <c r="V2051" s="3"/>
      <c r="W2051" s="3"/>
      <c r="X2051" s="3"/>
      <c r="Y2051" s="3"/>
      <c r="Z2051" s="3"/>
      <c r="AA2051" s="3"/>
      <c r="AB2051" s="3"/>
    </row>
    <row r="2052" spans="1:28" x14ac:dyDescent="0.3">
      <c r="A2052" s="2"/>
      <c r="F2052" s="3"/>
      <c r="G2052" s="3"/>
      <c r="N2052" s="3"/>
      <c r="Q2052" s="3"/>
      <c r="R2052" s="3"/>
      <c r="S2052" s="3"/>
      <c r="V2052" s="3"/>
      <c r="W2052" s="3"/>
      <c r="X2052" s="3"/>
      <c r="Y2052" s="3"/>
      <c r="Z2052" s="3"/>
      <c r="AA2052" s="3"/>
      <c r="AB2052" s="3"/>
    </row>
    <row r="2053" spans="1:28" x14ac:dyDescent="0.3">
      <c r="A2053" s="2"/>
      <c r="F2053" s="3"/>
      <c r="G2053" s="3"/>
      <c r="N2053" s="3"/>
      <c r="Q2053" s="3"/>
      <c r="R2053" s="3"/>
      <c r="S2053" s="3"/>
      <c r="V2053" s="3"/>
      <c r="W2053" s="3"/>
      <c r="X2053" s="3"/>
      <c r="Y2053" s="3"/>
      <c r="Z2053" s="3"/>
      <c r="AA2053" s="3"/>
      <c r="AB2053" s="3"/>
    </row>
    <row r="2054" spans="1:28" x14ac:dyDescent="0.3">
      <c r="A2054" s="2"/>
      <c r="F2054" s="3"/>
      <c r="G2054" s="3"/>
      <c r="N2054" s="3"/>
      <c r="Q2054" s="3"/>
      <c r="R2054" s="3"/>
      <c r="S2054" s="3"/>
      <c r="V2054" s="3"/>
      <c r="W2054" s="3"/>
      <c r="X2054" s="3"/>
      <c r="Y2054" s="3"/>
      <c r="Z2054" s="3"/>
      <c r="AA2054" s="3"/>
      <c r="AB2054" s="3"/>
    </row>
    <row r="2055" spans="1:28" x14ac:dyDescent="0.3">
      <c r="A2055" s="2"/>
      <c r="F2055" s="3"/>
      <c r="G2055" s="3"/>
      <c r="N2055" s="3"/>
      <c r="Q2055" s="3"/>
      <c r="R2055" s="3"/>
      <c r="S2055" s="3"/>
      <c r="V2055" s="3"/>
      <c r="W2055" s="3"/>
      <c r="X2055" s="3"/>
      <c r="Y2055" s="3"/>
      <c r="Z2055" s="3"/>
      <c r="AA2055" s="3"/>
      <c r="AB2055" s="3"/>
    </row>
    <row r="2056" spans="1:28" x14ac:dyDescent="0.3">
      <c r="A2056" s="2"/>
      <c r="F2056" s="3"/>
      <c r="G2056" s="3"/>
      <c r="N2056" s="3"/>
      <c r="Q2056" s="3"/>
      <c r="R2056" s="3"/>
      <c r="S2056" s="3"/>
      <c r="V2056" s="3"/>
      <c r="W2056" s="3"/>
      <c r="X2056" s="3"/>
      <c r="Y2056" s="3"/>
      <c r="Z2056" s="3"/>
      <c r="AA2056" s="3"/>
      <c r="AB2056" s="3"/>
    </row>
    <row r="2057" spans="1:28" x14ac:dyDescent="0.3">
      <c r="A2057" s="2"/>
      <c r="F2057" s="3"/>
      <c r="G2057" s="3"/>
      <c r="N2057" s="3"/>
      <c r="Q2057" s="3"/>
      <c r="R2057" s="3"/>
      <c r="S2057" s="3"/>
      <c r="V2057" s="3"/>
      <c r="W2057" s="3"/>
      <c r="X2057" s="3"/>
      <c r="Y2057" s="3"/>
      <c r="Z2057" s="3"/>
      <c r="AA2057" s="3"/>
      <c r="AB2057" s="3"/>
    </row>
    <row r="2058" spans="1:28" x14ac:dyDescent="0.3">
      <c r="A2058" s="2"/>
      <c r="F2058" s="3"/>
      <c r="G2058" s="3"/>
      <c r="N2058" s="3"/>
      <c r="Q2058" s="3"/>
      <c r="R2058" s="3"/>
      <c r="S2058" s="3"/>
      <c r="V2058" s="3"/>
      <c r="W2058" s="3"/>
      <c r="X2058" s="3"/>
      <c r="Y2058" s="3"/>
      <c r="Z2058" s="3"/>
      <c r="AA2058" s="3"/>
      <c r="AB2058" s="3"/>
    </row>
    <row r="2059" spans="1:28" x14ac:dyDescent="0.3">
      <c r="A2059" s="2"/>
      <c r="F2059" s="3"/>
      <c r="G2059" s="3"/>
      <c r="N2059" s="3"/>
      <c r="Q2059" s="3"/>
      <c r="R2059" s="3"/>
      <c r="S2059" s="3"/>
      <c r="V2059" s="3"/>
      <c r="W2059" s="3"/>
      <c r="X2059" s="3"/>
      <c r="Y2059" s="3"/>
      <c r="Z2059" s="3"/>
      <c r="AA2059" s="3"/>
      <c r="AB2059" s="3"/>
    </row>
    <row r="2060" spans="1:28" x14ac:dyDescent="0.3">
      <c r="A2060" s="2"/>
      <c r="F2060" s="3"/>
      <c r="G2060" s="3"/>
      <c r="N2060" s="3"/>
      <c r="Q2060" s="3"/>
      <c r="R2060" s="3"/>
      <c r="S2060" s="3"/>
      <c r="V2060" s="3"/>
      <c r="W2060" s="3"/>
      <c r="X2060" s="3"/>
      <c r="Y2060" s="3"/>
      <c r="Z2060" s="3"/>
      <c r="AA2060" s="3"/>
      <c r="AB2060" s="3"/>
    </row>
    <row r="2061" spans="1:28" x14ac:dyDescent="0.3">
      <c r="A2061" s="2"/>
      <c r="F2061" s="3"/>
      <c r="G2061" s="3"/>
      <c r="N2061" s="3"/>
      <c r="Q2061" s="3"/>
      <c r="R2061" s="3"/>
      <c r="S2061" s="3"/>
      <c r="V2061" s="3"/>
      <c r="W2061" s="3"/>
      <c r="X2061" s="3"/>
      <c r="Y2061" s="3"/>
      <c r="Z2061" s="3"/>
      <c r="AA2061" s="3"/>
      <c r="AB2061" s="3"/>
    </row>
    <row r="2062" spans="1:28" x14ac:dyDescent="0.3">
      <c r="A2062" s="2"/>
      <c r="F2062" s="3"/>
      <c r="G2062" s="3"/>
      <c r="N2062" s="3"/>
      <c r="Q2062" s="3"/>
      <c r="R2062" s="3"/>
      <c r="S2062" s="3"/>
      <c r="V2062" s="3"/>
      <c r="W2062" s="3"/>
      <c r="X2062" s="3"/>
      <c r="Y2062" s="3"/>
      <c r="Z2062" s="3"/>
      <c r="AA2062" s="3"/>
      <c r="AB2062" s="3"/>
    </row>
    <row r="2063" spans="1:28" x14ac:dyDescent="0.3">
      <c r="A2063" s="2"/>
      <c r="F2063" s="3"/>
      <c r="G2063" s="3"/>
      <c r="N2063" s="3"/>
      <c r="Q2063" s="3"/>
      <c r="R2063" s="3"/>
      <c r="S2063" s="3"/>
      <c r="V2063" s="3"/>
      <c r="W2063" s="3"/>
      <c r="X2063" s="3"/>
      <c r="Y2063" s="3"/>
      <c r="Z2063" s="3"/>
      <c r="AA2063" s="3"/>
      <c r="AB2063" s="3"/>
    </row>
    <row r="2064" spans="1:28" x14ac:dyDescent="0.3">
      <c r="A2064" s="2"/>
      <c r="F2064" s="3"/>
      <c r="G2064" s="3"/>
      <c r="N2064" s="3"/>
      <c r="Q2064" s="3"/>
      <c r="R2064" s="3"/>
      <c r="S2064" s="3"/>
      <c r="V2064" s="3"/>
      <c r="W2064" s="3"/>
      <c r="X2064" s="3"/>
      <c r="Y2064" s="3"/>
      <c r="Z2064" s="3"/>
      <c r="AA2064" s="3"/>
      <c r="AB2064" s="3"/>
    </row>
    <row r="2065" spans="1:28" x14ac:dyDescent="0.3">
      <c r="A2065" s="2"/>
      <c r="F2065" s="3"/>
      <c r="G2065" s="3"/>
      <c r="N2065" s="3"/>
      <c r="Q2065" s="3"/>
      <c r="R2065" s="3"/>
      <c r="S2065" s="3"/>
      <c r="V2065" s="3"/>
      <c r="W2065" s="3"/>
      <c r="X2065" s="3"/>
      <c r="Y2065" s="3"/>
      <c r="Z2065" s="3"/>
      <c r="AA2065" s="3"/>
      <c r="AB2065" s="3"/>
    </row>
    <row r="2066" spans="1:28" x14ac:dyDescent="0.3">
      <c r="A2066" s="2"/>
      <c r="F2066" s="3"/>
      <c r="G2066" s="3"/>
      <c r="N2066" s="3"/>
      <c r="Q2066" s="3"/>
      <c r="R2066" s="3"/>
      <c r="S2066" s="3"/>
      <c r="V2066" s="3"/>
      <c r="W2066" s="3"/>
      <c r="X2066" s="3"/>
      <c r="Y2066" s="3"/>
      <c r="Z2066" s="3"/>
      <c r="AA2066" s="3"/>
      <c r="AB2066" s="3"/>
    </row>
    <row r="2067" spans="1:28" x14ac:dyDescent="0.3">
      <c r="A2067" s="2"/>
      <c r="F2067" s="3"/>
      <c r="G2067" s="3"/>
      <c r="N2067" s="3"/>
      <c r="Q2067" s="3"/>
      <c r="R2067" s="3"/>
      <c r="S2067" s="3"/>
      <c r="V2067" s="3"/>
      <c r="W2067" s="3"/>
      <c r="X2067" s="3"/>
      <c r="Y2067" s="3"/>
      <c r="Z2067" s="3"/>
      <c r="AA2067" s="3"/>
      <c r="AB2067" s="3"/>
    </row>
    <row r="2068" spans="1:28" x14ac:dyDescent="0.3">
      <c r="A2068" s="2"/>
      <c r="F2068" s="3"/>
      <c r="G2068" s="3"/>
      <c r="N2068" s="3"/>
      <c r="Q2068" s="3"/>
      <c r="R2068" s="3"/>
      <c r="S2068" s="3"/>
      <c r="V2068" s="3"/>
      <c r="W2068" s="3"/>
      <c r="X2068" s="3"/>
      <c r="Y2068" s="3"/>
      <c r="Z2068" s="3"/>
      <c r="AA2068" s="3"/>
      <c r="AB2068" s="3"/>
    </row>
    <row r="2069" spans="1:28" x14ac:dyDescent="0.3">
      <c r="A2069" s="2"/>
      <c r="F2069" s="3"/>
      <c r="G2069" s="3"/>
      <c r="N2069" s="3"/>
      <c r="Q2069" s="3"/>
      <c r="R2069" s="3"/>
      <c r="S2069" s="3"/>
      <c r="V2069" s="3"/>
      <c r="W2069" s="3"/>
      <c r="X2069" s="3"/>
      <c r="Y2069" s="3"/>
      <c r="Z2069" s="3"/>
      <c r="AA2069" s="3"/>
      <c r="AB2069" s="3"/>
    </row>
    <row r="2070" spans="1:28" x14ac:dyDescent="0.3">
      <c r="A2070" s="2"/>
      <c r="F2070" s="3"/>
      <c r="G2070" s="3"/>
      <c r="N2070" s="3"/>
      <c r="Q2070" s="3"/>
      <c r="R2070" s="3"/>
      <c r="S2070" s="3"/>
      <c r="V2070" s="3"/>
      <c r="W2070" s="3"/>
      <c r="X2070" s="3"/>
      <c r="Y2070" s="3"/>
      <c r="Z2070" s="3"/>
      <c r="AA2070" s="3"/>
      <c r="AB2070" s="3"/>
    </row>
    <row r="2071" spans="1:28" x14ac:dyDescent="0.3">
      <c r="A2071" s="2"/>
      <c r="F2071" s="3"/>
      <c r="G2071" s="3"/>
      <c r="N2071" s="3"/>
      <c r="Q2071" s="3"/>
      <c r="R2071" s="3"/>
      <c r="S2071" s="3"/>
      <c r="V2071" s="3"/>
      <c r="W2071" s="3"/>
      <c r="X2071" s="3"/>
      <c r="Y2071" s="3"/>
      <c r="Z2071" s="3"/>
      <c r="AA2071" s="3"/>
      <c r="AB2071" s="3"/>
    </row>
    <row r="2072" spans="1:28" x14ac:dyDescent="0.3">
      <c r="A2072" s="2"/>
      <c r="F2072" s="3"/>
      <c r="G2072" s="3"/>
      <c r="N2072" s="3"/>
      <c r="Q2072" s="3"/>
      <c r="R2072" s="3"/>
      <c r="S2072" s="3"/>
      <c r="V2072" s="3"/>
      <c r="W2072" s="3"/>
      <c r="X2072" s="3"/>
      <c r="Y2072" s="3"/>
      <c r="Z2072" s="3"/>
      <c r="AA2072" s="3"/>
      <c r="AB2072" s="3"/>
    </row>
    <row r="2073" spans="1:28" x14ac:dyDescent="0.3">
      <c r="A2073" s="2"/>
      <c r="F2073" s="3"/>
      <c r="G2073" s="3"/>
      <c r="N2073" s="3"/>
      <c r="Q2073" s="3"/>
      <c r="R2073" s="3"/>
      <c r="S2073" s="3"/>
      <c r="V2073" s="3"/>
      <c r="W2073" s="3"/>
      <c r="X2073" s="3"/>
      <c r="Y2073" s="3"/>
      <c r="Z2073" s="3"/>
      <c r="AA2073" s="3"/>
      <c r="AB2073" s="3"/>
    </row>
    <row r="2074" spans="1:28" x14ac:dyDescent="0.3">
      <c r="A2074" s="2"/>
      <c r="F2074" s="3"/>
      <c r="G2074" s="3"/>
      <c r="N2074" s="3"/>
      <c r="Q2074" s="3"/>
      <c r="R2074" s="3"/>
      <c r="S2074" s="3"/>
      <c r="V2074" s="3"/>
      <c r="W2074" s="3"/>
      <c r="X2074" s="3"/>
      <c r="Y2074" s="3"/>
      <c r="Z2074" s="3"/>
      <c r="AA2074" s="3"/>
      <c r="AB2074" s="3"/>
    </row>
    <row r="2075" spans="1:28" x14ac:dyDescent="0.3">
      <c r="A2075" s="2"/>
      <c r="F2075" s="3"/>
      <c r="G2075" s="3"/>
      <c r="N2075" s="3"/>
      <c r="Q2075" s="3"/>
      <c r="R2075" s="3"/>
      <c r="S2075" s="3"/>
      <c r="V2075" s="3"/>
      <c r="W2075" s="3"/>
      <c r="X2075" s="3"/>
      <c r="Y2075" s="3"/>
      <c r="Z2075" s="3"/>
      <c r="AA2075" s="3"/>
      <c r="AB2075" s="3"/>
    </row>
    <row r="2076" spans="1:28" x14ac:dyDescent="0.3">
      <c r="A2076" s="2"/>
      <c r="F2076" s="3"/>
      <c r="G2076" s="3"/>
      <c r="N2076" s="3"/>
      <c r="Q2076" s="3"/>
      <c r="R2076" s="3"/>
      <c r="S2076" s="3"/>
      <c r="V2076" s="3"/>
      <c r="W2076" s="3"/>
      <c r="X2076" s="3"/>
      <c r="Y2076" s="3"/>
      <c r="Z2076" s="3"/>
      <c r="AA2076" s="3"/>
      <c r="AB2076" s="3"/>
    </row>
    <row r="2077" spans="1:28" x14ac:dyDescent="0.3">
      <c r="A2077" s="2"/>
      <c r="F2077" s="3"/>
      <c r="G2077" s="3"/>
      <c r="N2077" s="3"/>
      <c r="Q2077" s="3"/>
      <c r="R2077" s="3"/>
      <c r="S2077" s="3"/>
      <c r="V2077" s="3"/>
      <c r="W2077" s="3"/>
      <c r="X2077" s="3"/>
      <c r="Y2077" s="3"/>
      <c r="Z2077" s="3"/>
      <c r="AA2077" s="3"/>
      <c r="AB2077" s="3"/>
    </row>
    <row r="2078" spans="1:28" x14ac:dyDescent="0.3">
      <c r="A2078" s="2"/>
      <c r="F2078" s="3"/>
      <c r="G2078" s="3"/>
      <c r="N2078" s="3"/>
      <c r="Q2078" s="3"/>
      <c r="R2078" s="3"/>
      <c r="S2078" s="3"/>
      <c r="V2078" s="3"/>
      <c r="W2078" s="3"/>
      <c r="X2078" s="3"/>
      <c r="Y2078" s="3"/>
      <c r="Z2078" s="3"/>
      <c r="AA2078" s="3"/>
      <c r="AB2078" s="3"/>
    </row>
    <row r="2079" spans="1:28" x14ac:dyDescent="0.3">
      <c r="A2079" s="2"/>
      <c r="F2079" s="3"/>
      <c r="G2079" s="3"/>
      <c r="N2079" s="3"/>
      <c r="Q2079" s="3"/>
      <c r="R2079" s="3"/>
      <c r="S2079" s="3"/>
      <c r="V2079" s="3"/>
      <c r="W2079" s="3"/>
      <c r="X2079" s="3"/>
      <c r="Y2079" s="3"/>
      <c r="Z2079" s="3"/>
      <c r="AA2079" s="3"/>
      <c r="AB2079" s="3"/>
    </row>
    <row r="2080" spans="1:28" x14ac:dyDescent="0.3">
      <c r="A2080" s="2"/>
      <c r="F2080" s="3"/>
      <c r="G2080" s="3"/>
      <c r="N2080" s="3"/>
      <c r="Q2080" s="3"/>
      <c r="R2080" s="3"/>
      <c r="S2080" s="3"/>
      <c r="V2080" s="3"/>
      <c r="W2080" s="3"/>
      <c r="X2080" s="3"/>
      <c r="Y2080" s="3"/>
      <c r="Z2080" s="3"/>
      <c r="AA2080" s="3"/>
      <c r="AB2080" s="3"/>
    </row>
    <row r="2081" spans="1:28" x14ac:dyDescent="0.3">
      <c r="A2081" s="2"/>
      <c r="F2081" s="3"/>
      <c r="G2081" s="3"/>
      <c r="N2081" s="3"/>
      <c r="Q2081" s="3"/>
      <c r="R2081" s="3"/>
      <c r="S2081" s="3"/>
      <c r="V2081" s="3"/>
      <c r="W2081" s="3"/>
      <c r="X2081" s="3"/>
      <c r="Y2081" s="3"/>
      <c r="Z2081" s="3"/>
      <c r="AA2081" s="3"/>
      <c r="AB2081" s="3"/>
    </row>
    <row r="2082" spans="1:28" x14ac:dyDescent="0.3">
      <c r="A2082" s="2"/>
      <c r="F2082" s="3"/>
      <c r="G2082" s="3"/>
      <c r="N2082" s="3"/>
      <c r="Q2082" s="3"/>
      <c r="R2082" s="3"/>
      <c r="S2082" s="3"/>
      <c r="V2082" s="3"/>
      <c r="W2082" s="3"/>
      <c r="X2082" s="3"/>
      <c r="Y2082" s="3"/>
      <c r="Z2082" s="3"/>
      <c r="AA2082" s="3"/>
      <c r="AB2082" s="3"/>
    </row>
    <row r="2083" spans="1:28" x14ac:dyDescent="0.3">
      <c r="A2083" s="2"/>
      <c r="F2083" s="3"/>
      <c r="G2083" s="3"/>
      <c r="N2083" s="3"/>
      <c r="Q2083" s="3"/>
      <c r="R2083" s="3"/>
      <c r="S2083" s="3"/>
      <c r="V2083" s="3"/>
      <c r="W2083" s="3"/>
      <c r="X2083" s="3"/>
      <c r="Y2083" s="3"/>
      <c r="Z2083" s="3"/>
      <c r="AA2083" s="3"/>
      <c r="AB2083" s="3"/>
    </row>
    <row r="2084" spans="1:28" x14ac:dyDescent="0.3">
      <c r="A2084" s="2"/>
      <c r="F2084" s="3"/>
      <c r="G2084" s="3"/>
      <c r="N2084" s="3"/>
      <c r="Q2084" s="3"/>
      <c r="R2084" s="3"/>
      <c r="S2084" s="3"/>
      <c r="V2084" s="3"/>
      <c r="W2084" s="3"/>
      <c r="X2084" s="3"/>
      <c r="Y2084" s="3"/>
      <c r="Z2084" s="3"/>
      <c r="AA2084" s="3"/>
      <c r="AB2084" s="3"/>
    </row>
    <row r="2085" spans="1:28" x14ac:dyDescent="0.3">
      <c r="A2085" s="2"/>
      <c r="F2085" s="3"/>
      <c r="G2085" s="3"/>
      <c r="N2085" s="3"/>
      <c r="Q2085" s="3"/>
      <c r="R2085" s="3"/>
      <c r="S2085" s="3"/>
      <c r="V2085" s="3"/>
      <c r="W2085" s="3"/>
      <c r="X2085" s="3"/>
      <c r="Y2085" s="3"/>
      <c r="Z2085" s="3"/>
      <c r="AA2085" s="3"/>
      <c r="AB2085" s="3"/>
    </row>
    <row r="2086" spans="1:28" x14ac:dyDescent="0.3">
      <c r="A2086" s="2"/>
      <c r="F2086" s="3"/>
      <c r="G2086" s="3"/>
      <c r="N2086" s="3"/>
      <c r="Q2086" s="3"/>
      <c r="R2086" s="3"/>
      <c r="S2086" s="3"/>
      <c r="V2086" s="3"/>
      <c r="W2086" s="3"/>
      <c r="X2086" s="3"/>
      <c r="Y2086" s="3"/>
      <c r="Z2086" s="3"/>
      <c r="AA2086" s="3"/>
      <c r="AB2086" s="3"/>
    </row>
    <row r="2087" spans="1:28" x14ac:dyDescent="0.3">
      <c r="A2087" s="2"/>
      <c r="F2087" s="3"/>
      <c r="G2087" s="3"/>
      <c r="N2087" s="3"/>
      <c r="Q2087" s="3"/>
      <c r="R2087" s="3"/>
      <c r="S2087" s="3"/>
      <c r="V2087" s="3"/>
      <c r="W2087" s="3"/>
      <c r="X2087" s="3"/>
      <c r="Y2087" s="3"/>
      <c r="Z2087" s="3"/>
      <c r="AA2087" s="3"/>
      <c r="AB2087" s="3"/>
    </row>
    <row r="2088" spans="1:28" x14ac:dyDescent="0.3">
      <c r="A2088" s="2"/>
      <c r="F2088" s="3"/>
      <c r="G2088" s="3"/>
      <c r="N2088" s="3"/>
      <c r="Q2088" s="3"/>
      <c r="R2088" s="3"/>
      <c r="S2088" s="3"/>
      <c r="V2088" s="3"/>
      <c r="W2088" s="3"/>
      <c r="X2088" s="3"/>
      <c r="Y2088" s="3"/>
      <c r="Z2088" s="3"/>
      <c r="AA2088" s="3"/>
      <c r="AB2088" s="3"/>
    </row>
    <row r="2089" spans="1:28" x14ac:dyDescent="0.3">
      <c r="A2089" s="2"/>
      <c r="F2089" s="3"/>
      <c r="G2089" s="3"/>
      <c r="N2089" s="3"/>
      <c r="Q2089" s="3"/>
      <c r="R2089" s="3"/>
      <c r="S2089" s="3"/>
      <c r="V2089" s="3"/>
      <c r="W2089" s="3"/>
      <c r="X2089" s="3"/>
      <c r="Y2089" s="3"/>
      <c r="Z2089" s="3"/>
      <c r="AA2089" s="3"/>
      <c r="AB2089" s="3"/>
    </row>
    <row r="2090" spans="1:28" x14ac:dyDescent="0.3">
      <c r="A2090" s="2"/>
      <c r="F2090" s="3"/>
      <c r="G2090" s="3"/>
      <c r="N2090" s="3"/>
      <c r="Q2090" s="3"/>
      <c r="R2090" s="3"/>
      <c r="S2090" s="3"/>
      <c r="V2090" s="3"/>
      <c r="W2090" s="3"/>
      <c r="X2090" s="3"/>
      <c r="Y2090" s="3"/>
      <c r="Z2090" s="3"/>
      <c r="AA2090" s="3"/>
      <c r="AB2090" s="3"/>
    </row>
    <row r="2091" spans="1:28" x14ac:dyDescent="0.3">
      <c r="A2091" s="2"/>
      <c r="F2091" s="3"/>
      <c r="G2091" s="3"/>
      <c r="N2091" s="3"/>
      <c r="Q2091" s="3"/>
      <c r="R2091" s="3"/>
      <c r="S2091" s="3"/>
      <c r="V2091" s="3"/>
      <c r="W2091" s="3"/>
      <c r="X2091" s="3"/>
      <c r="Y2091" s="3"/>
      <c r="Z2091" s="3"/>
      <c r="AA2091" s="3"/>
      <c r="AB2091" s="3"/>
    </row>
    <row r="2092" spans="1:28" x14ac:dyDescent="0.3">
      <c r="A2092" s="2"/>
      <c r="F2092" s="3"/>
      <c r="G2092" s="3"/>
      <c r="N2092" s="3"/>
      <c r="Q2092" s="3"/>
      <c r="R2092" s="3"/>
      <c r="S2092" s="3"/>
      <c r="V2092" s="3"/>
      <c r="W2092" s="3"/>
      <c r="X2092" s="3"/>
      <c r="Y2092" s="3"/>
      <c r="Z2092" s="3"/>
      <c r="AA2092" s="3"/>
      <c r="AB2092" s="3"/>
    </row>
    <row r="2093" spans="1:28" x14ac:dyDescent="0.3">
      <c r="A2093" s="2"/>
      <c r="F2093" s="3"/>
      <c r="G2093" s="3"/>
      <c r="N2093" s="3"/>
      <c r="Q2093" s="3"/>
      <c r="R2093" s="3"/>
      <c r="S2093" s="3"/>
      <c r="V2093" s="3"/>
      <c r="W2093" s="3"/>
      <c r="X2093" s="3"/>
      <c r="Y2093" s="3"/>
      <c r="Z2093" s="3"/>
      <c r="AA2093" s="3"/>
      <c r="AB2093" s="3"/>
    </row>
    <row r="2094" spans="1:28" x14ac:dyDescent="0.3">
      <c r="A2094" s="2"/>
      <c r="F2094" s="3"/>
      <c r="G2094" s="3"/>
      <c r="N2094" s="3"/>
      <c r="Q2094" s="3"/>
      <c r="R2094" s="3"/>
      <c r="S2094" s="3"/>
      <c r="V2094" s="3"/>
      <c r="W2094" s="3"/>
      <c r="X2094" s="3"/>
      <c r="Y2094" s="3"/>
      <c r="Z2094" s="3"/>
      <c r="AA2094" s="3"/>
      <c r="AB2094" s="3"/>
    </row>
    <row r="2095" spans="1:28" x14ac:dyDescent="0.3">
      <c r="A2095" s="2"/>
      <c r="F2095" s="3"/>
      <c r="G2095" s="3"/>
      <c r="N2095" s="3"/>
      <c r="Q2095" s="3"/>
      <c r="R2095" s="3"/>
      <c r="S2095" s="3"/>
      <c r="V2095" s="3"/>
      <c r="W2095" s="3"/>
      <c r="X2095" s="3"/>
      <c r="Y2095" s="3"/>
      <c r="Z2095" s="3"/>
      <c r="AA2095" s="3"/>
      <c r="AB2095" s="3"/>
    </row>
    <row r="2096" spans="1:28" x14ac:dyDescent="0.3">
      <c r="A2096" s="2"/>
      <c r="F2096" s="3"/>
      <c r="G2096" s="3"/>
      <c r="N2096" s="3"/>
      <c r="Q2096" s="3"/>
      <c r="R2096" s="3"/>
      <c r="S2096" s="3"/>
      <c r="V2096" s="3"/>
      <c r="W2096" s="3"/>
      <c r="X2096" s="3"/>
      <c r="Y2096" s="3"/>
      <c r="Z2096" s="3"/>
      <c r="AA2096" s="3"/>
      <c r="AB2096" s="3"/>
    </row>
    <row r="2097" spans="1:28" x14ac:dyDescent="0.3">
      <c r="A2097" s="2"/>
      <c r="F2097" s="3"/>
      <c r="G2097" s="3"/>
      <c r="N2097" s="3"/>
      <c r="Q2097" s="3"/>
      <c r="R2097" s="3"/>
      <c r="S2097" s="3"/>
      <c r="V2097" s="3"/>
      <c r="W2097" s="3"/>
      <c r="X2097" s="3"/>
      <c r="Y2097" s="3"/>
      <c r="Z2097" s="3"/>
      <c r="AA2097" s="3"/>
      <c r="AB2097" s="3"/>
    </row>
    <row r="2098" spans="1:28" x14ac:dyDescent="0.3">
      <c r="A2098" s="2"/>
      <c r="F2098" s="3"/>
      <c r="G2098" s="3"/>
      <c r="N2098" s="3"/>
      <c r="Q2098" s="3"/>
      <c r="R2098" s="3"/>
      <c r="S2098" s="3"/>
      <c r="V2098" s="3"/>
      <c r="W2098" s="3"/>
      <c r="X2098" s="3"/>
      <c r="Y2098" s="3"/>
      <c r="Z2098" s="3"/>
      <c r="AA2098" s="3"/>
      <c r="AB2098" s="3"/>
    </row>
    <row r="2099" spans="1:28" x14ac:dyDescent="0.3">
      <c r="A2099" s="2"/>
      <c r="F2099" s="3"/>
      <c r="G2099" s="3"/>
      <c r="N2099" s="3"/>
      <c r="Q2099" s="3"/>
      <c r="R2099" s="3"/>
      <c r="S2099" s="3"/>
      <c r="V2099" s="3"/>
      <c r="W2099" s="3"/>
      <c r="X2099" s="3"/>
      <c r="Y2099" s="3"/>
      <c r="Z2099" s="3"/>
      <c r="AA2099" s="3"/>
      <c r="AB2099" s="3"/>
    </row>
    <row r="2100" spans="1:28" x14ac:dyDescent="0.3">
      <c r="A2100" s="2"/>
      <c r="F2100" s="3"/>
      <c r="G2100" s="3"/>
      <c r="N2100" s="3"/>
      <c r="Q2100" s="3"/>
      <c r="R2100" s="3"/>
      <c r="S2100" s="3"/>
      <c r="V2100" s="3"/>
      <c r="W2100" s="3"/>
      <c r="X2100" s="3"/>
      <c r="Y2100" s="3"/>
      <c r="Z2100" s="3"/>
      <c r="AA2100" s="3"/>
      <c r="AB2100" s="3"/>
    </row>
    <row r="2101" spans="1:28" x14ac:dyDescent="0.3">
      <c r="A2101" s="2"/>
      <c r="F2101" s="3"/>
      <c r="G2101" s="3"/>
      <c r="N2101" s="3"/>
      <c r="Q2101" s="3"/>
      <c r="R2101" s="3"/>
      <c r="S2101" s="3"/>
      <c r="V2101" s="3"/>
      <c r="W2101" s="3"/>
      <c r="X2101" s="3"/>
      <c r="Y2101" s="3"/>
      <c r="Z2101" s="3"/>
      <c r="AA2101" s="3"/>
      <c r="AB2101" s="3"/>
    </row>
    <row r="2102" spans="1:28" x14ac:dyDescent="0.3">
      <c r="A2102" s="2"/>
      <c r="F2102" s="3"/>
      <c r="G2102" s="3"/>
      <c r="N2102" s="3"/>
      <c r="Q2102" s="3"/>
      <c r="R2102" s="3"/>
      <c r="S2102" s="3"/>
      <c r="V2102" s="3"/>
      <c r="W2102" s="3"/>
      <c r="X2102" s="3"/>
      <c r="Y2102" s="3"/>
      <c r="Z2102" s="3"/>
      <c r="AA2102" s="3"/>
      <c r="AB2102" s="3"/>
    </row>
    <row r="2103" spans="1:28" x14ac:dyDescent="0.3">
      <c r="A2103" s="2"/>
      <c r="F2103" s="3"/>
      <c r="G2103" s="3"/>
      <c r="N2103" s="3"/>
      <c r="Q2103" s="3"/>
      <c r="R2103" s="3"/>
      <c r="S2103" s="3"/>
      <c r="V2103" s="3"/>
      <c r="W2103" s="3"/>
      <c r="X2103" s="3"/>
      <c r="Y2103" s="3"/>
      <c r="Z2103" s="3"/>
      <c r="AA2103" s="3"/>
      <c r="AB2103" s="3"/>
    </row>
    <row r="2104" spans="1:28" x14ac:dyDescent="0.3">
      <c r="A2104" s="2"/>
      <c r="F2104" s="3"/>
      <c r="G2104" s="3"/>
      <c r="N2104" s="3"/>
      <c r="Q2104" s="3"/>
      <c r="R2104" s="3"/>
      <c r="S2104" s="3"/>
      <c r="V2104" s="3"/>
      <c r="W2104" s="3"/>
      <c r="X2104" s="3"/>
      <c r="Y2104" s="3"/>
      <c r="Z2104" s="3"/>
      <c r="AA2104" s="3"/>
      <c r="AB2104" s="3"/>
    </row>
    <row r="2105" spans="1:28" x14ac:dyDescent="0.3">
      <c r="A2105" s="2"/>
      <c r="F2105" s="3"/>
      <c r="G2105" s="3"/>
      <c r="N2105" s="3"/>
      <c r="Q2105" s="3"/>
      <c r="R2105" s="3"/>
      <c r="S2105" s="3"/>
      <c r="V2105" s="3"/>
      <c r="W2105" s="3"/>
      <c r="X2105" s="3"/>
      <c r="Y2105" s="3"/>
      <c r="Z2105" s="3"/>
      <c r="AA2105" s="3"/>
      <c r="AB2105" s="3"/>
    </row>
    <row r="2106" spans="1:28" x14ac:dyDescent="0.3">
      <c r="A2106" s="2"/>
      <c r="F2106" s="3"/>
      <c r="G2106" s="3"/>
      <c r="N2106" s="3"/>
      <c r="Q2106" s="3"/>
      <c r="R2106" s="3"/>
      <c r="S2106" s="3"/>
      <c r="V2106" s="3"/>
      <c r="W2106" s="3"/>
      <c r="X2106" s="3"/>
      <c r="Y2106" s="3"/>
      <c r="Z2106" s="3"/>
      <c r="AA2106" s="3"/>
      <c r="AB2106" s="3"/>
    </row>
    <row r="2107" spans="1:28" x14ac:dyDescent="0.3">
      <c r="A2107" s="2"/>
      <c r="F2107" s="3"/>
      <c r="G2107" s="3"/>
      <c r="N2107" s="3"/>
      <c r="Q2107" s="3"/>
      <c r="R2107" s="3"/>
      <c r="S2107" s="3"/>
      <c r="V2107" s="3"/>
      <c r="W2107" s="3"/>
      <c r="X2107" s="3"/>
      <c r="Y2107" s="3"/>
      <c r="Z2107" s="3"/>
      <c r="AA2107" s="3"/>
      <c r="AB2107" s="3"/>
    </row>
    <row r="2108" spans="1:28" x14ac:dyDescent="0.3">
      <c r="A2108" s="2"/>
      <c r="F2108" s="3"/>
      <c r="G2108" s="3"/>
      <c r="N2108" s="3"/>
      <c r="Q2108" s="3"/>
      <c r="R2108" s="3"/>
      <c r="S2108" s="3"/>
      <c r="V2108" s="3"/>
      <c r="W2108" s="3"/>
      <c r="X2108" s="3"/>
      <c r="Y2108" s="3"/>
      <c r="Z2108" s="3"/>
      <c r="AA2108" s="3"/>
      <c r="AB2108" s="3"/>
    </row>
    <row r="2109" spans="1:28" x14ac:dyDescent="0.3">
      <c r="A2109" s="2"/>
      <c r="F2109" s="3"/>
      <c r="G2109" s="3"/>
      <c r="N2109" s="3"/>
      <c r="Q2109" s="3"/>
      <c r="R2109" s="3"/>
      <c r="S2109" s="3"/>
      <c r="V2109" s="3"/>
      <c r="W2109" s="3"/>
      <c r="X2109" s="3"/>
      <c r="Y2109" s="3"/>
      <c r="Z2109" s="3"/>
      <c r="AA2109" s="3"/>
      <c r="AB2109" s="3"/>
    </row>
    <row r="2110" spans="1:28" x14ac:dyDescent="0.3">
      <c r="A2110" s="2"/>
      <c r="F2110" s="3"/>
      <c r="G2110" s="3"/>
      <c r="N2110" s="3"/>
      <c r="Q2110" s="3"/>
      <c r="R2110" s="3"/>
      <c r="S2110" s="3"/>
      <c r="V2110" s="3"/>
      <c r="W2110" s="3"/>
      <c r="X2110" s="3"/>
      <c r="Y2110" s="3"/>
      <c r="Z2110" s="3"/>
      <c r="AA2110" s="3"/>
      <c r="AB2110" s="3"/>
    </row>
    <row r="2111" spans="1:28" x14ac:dyDescent="0.3">
      <c r="A2111" s="2"/>
      <c r="F2111" s="3"/>
      <c r="G2111" s="3"/>
      <c r="N2111" s="3"/>
      <c r="Q2111" s="3"/>
      <c r="R2111" s="3"/>
      <c r="S2111" s="3"/>
      <c r="V2111" s="3"/>
      <c r="W2111" s="3"/>
      <c r="X2111" s="3"/>
      <c r="Y2111" s="3"/>
      <c r="Z2111" s="3"/>
      <c r="AA2111" s="3"/>
      <c r="AB2111" s="3"/>
    </row>
    <row r="2112" spans="1:28" x14ac:dyDescent="0.3">
      <c r="A2112" s="2"/>
      <c r="F2112" s="3"/>
      <c r="G2112" s="3"/>
      <c r="N2112" s="3"/>
      <c r="Q2112" s="3"/>
      <c r="R2112" s="3"/>
      <c r="S2112" s="3"/>
      <c r="V2112" s="3"/>
      <c r="W2112" s="3"/>
      <c r="X2112" s="3"/>
      <c r="Y2112" s="3"/>
      <c r="Z2112" s="3"/>
      <c r="AA2112" s="3"/>
      <c r="AB2112" s="3"/>
    </row>
    <row r="2113" spans="1:28" x14ac:dyDescent="0.3">
      <c r="A2113" s="2"/>
      <c r="F2113" s="3"/>
      <c r="G2113" s="3"/>
      <c r="N2113" s="3"/>
      <c r="Q2113" s="3"/>
      <c r="R2113" s="3"/>
      <c r="S2113" s="3"/>
      <c r="V2113" s="3"/>
      <c r="W2113" s="3"/>
      <c r="X2113" s="3"/>
      <c r="Y2113" s="3"/>
      <c r="Z2113" s="3"/>
      <c r="AA2113" s="3"/>
      <c r="AB2113" s="3"/>
    </row>
    <row r="2114" spans="1:28" x14ac:dyDescent="0.3">
      <c r="A2114" s="2"/>
      <c r="F2114" s="3"/>
      <c r="G2114" s="3"/>
      <c r="N2114" s="3"/>
      <c r="Q2114" s="3"/>
      <c r="R2114" s="3"/>
      <c r="S2114" s="3"/>
      <c r="V2114" s="3"/>
      <c r="W2114" s="3"/>
      <c r="X2114" s="3"/>
      <c r="Y2114" s="3"/>
      <c r="Z2114" s="3"/>
      <c r="AA2114" s="3"/>
      <c r="AB2114" s="3"/>
    </row>
    <row r="2115" spans="1:28" x14ac:dyDescent="0.3">
      <c r="A2115" s="2"/>
      <c r="F2115" s="3"/>
      <c r="G2115" s="3"/>
      <c r="N2115" s="3"/>
      <c r="Q2115" s="3"/>
      <c r="R2115" s="3"/>
      <c r="S2115" s="3"/>
      <c r="V2115" s="3"/>
      <c r="W2115" s="3"/>
      <c r="X2115" s="3"/>
      <c r="Y2115" s="3"/>
      <c r="Z2115" s="3"/>
      <c r="AA2115" s="3"/>
      <c r="AB2115" s="3"/>
    </row>
    <row r="2116" spans="1:28" x14ac:dyDescent="0.3">
      <c r="A2116" s="2"/>
      <c r="F2116" s="3"/>
      <c r="G2116" s="3"/>
      <c r="N2116" s="3"/>
      <c r="Q2116" s="3"/>
      <c r="R2116" s="3"/>
      <c r="S2116" s="3"/>
      <c r="V2116" s="3"/>
      <c r="W2116" s="3"/>
      <c r="X2116" s="3"/>
      <c r="Y2116" s="3"/>
      <c r="Z2116" s="3"/>
      <c r="AA2116" s="3"/>
      <c r="AB2116" s="3"/>
    </row>
    <row r="2117" spans="1:28" x14ac:dyDescent="0.3">
      <c r="A2117" s="2"/>
      <c r="F2117" s="3"/>
      <c r="G2117" s="3"/>
      <c r="N2117" s="3"/>
      <c r="Q2117" s="3"/>
      <c r="R2117" s="3"/>
      <c r="S2117" s="3"/>
      <c r="V2117" s="3"/>
      <c r="W2117" s="3"/>
      <c r="X2117" s="3"/>
      <c r="Y2117" s="3"/>
      <c r="Z2117" s="3"/>
      <c r="AA2117" s="3"/>
      <c r="AB2117" s="3"/>
    </row>
    <row r="2118" spans="1:28" x14ac:dyDescent="0.3">
      <c r="A2118" s="2"/>
      <c r="F2118" s="3"/>
      <c r="G2118" s="3"/>
      <c r="N2118" s="3"/>
      <c r="Q2118" s="3"/>
      <c r="R2118" s="3"/>
      <c r="S2118" s="3"/>
      <c r="V2118" s="3"/>
      <c r="W2118" s="3"/>
      <c r="X2118" s="3"/>
      <c r="Y2118" s="3"/>
      <c r="Z2118" s="3"/>
      <c r="AA2118" s="3"/>
      <c r="AB2118" s="3"/>
    </row>
    <row r="2119" spans="1:28" x14ac:dyDescent="0.3">
      <c r="A2119" s="2"/>
      <c r="F2119" s="3"/>
      <c r="G2119" s="3"/>
      <c r="N2119" s="3"/>
      <c r="Q2119" s="3"/>
      <c r="R2119" s="3"/>
      <c r="S2119" s="3"/>
      <c r="V2119" s="3"/>
      <c r="W2119" s="3"/>
      <c r="X2119" s="3"/>
      <c r="Y2119" s="3"/>
      <c r="Z2119" s="3"/>
      <c r="AA2119" s="3"/>
      <c r="AB2119" s="3"/>
    </row>
    <row r="2120" spans="1:28" x14ac:dyDescent="0.3">
      <c r="A2120" s="2"/>
      <c r="F2120" s="3"/>
      <c r="G2120" s="3"/>
      <c r="N2120" s="3"/>
      <c r="Q2120" s="3"/>
      <c r="R2120" s="3"/>
      <c r="S2120" s="3"/>
      <c r="V2120" s="3"/>
      <c r="W2120" s="3"/>
      <c r="X2120" s="3"/>
      <c r="Y2120" s="3"/>
      <c r="Z2120" s="3"/>
      <c r="AA2120" s="3"/>
      <c r="AB2120" s="3"/>
    </row>
    <row r="2121" spans="1:28" x14ac:dyDescent="0.3">
      <c r="A2121" s="2"/>
      <c r="F2121" s="3"/>
      <c r="G2121" s="3"/>
      <c r="N2121" s="3"/>
      <c r="Q2121" s="3"/>
      <c r="R2121" s="3"/>
      <c r="S2121" s="3"/>
      <c r="V2121" s="3"/>
      <c r="W2121" s="3"/>
      <c r="X2121" s="3"/>
      <c r="Y2121" s="3"/>
      <c r="Z2121" s="3"/>
      <c r="AA2121" s="3"/>
      <c r="AB2121" s="3"/>
    </row>
    <row r="2122" spans="1:28" x14ac:dyDescent="0.3">
      <c r="A2122" s="2"/>
      <c r="F2122" s="3"/>
      <c r="G2122" s="3"/>
      <c r="N2122" s="3"/>
      <c r="Q2122" s="3"/>
      <c r="R2122" s="3"/>
      <c r="S2122" s="3"/>
      <c r="V2122" s="3"/>
      <c r="W2122" s="3"/>
      <c r="X2122" s="3"/>
      <c r="Y2122" s="3"/>
      <c r="Z2122" s="3"/>
      <c r="AA2122" s="3"/>
      <c r="AB2122" s="3"/>
    </row>
    <row r="2123" spans="1:28" x14ac:dyDescent="0.3">
      <c r="A2123" s="2"/>
      <c r="F2123" s="3"/>
      <c r="G2123" s="3"/>
      <c r="N2123" s="3"/>
      <c r="Q2123" s="3"/>
      <c r="R2123" s="3"/>
      <c r="S2123" s="3"/>
      <c r="V2123" s="3"/>
      <c r="W2123" s="3"/>
      <c r="X2123" s="3"/>
      <c r="Y2123" s="3"/>
      <c r="Z2123" s="3"/>
      <c r="AA2123" s="3"/>
      <c r="AB2123" s="3"/>
    </row>
    <row r="2124" spans="1:28" x14ac:dyDescent="0.3">
      <c r="A2124" s="2"/>
      <c r="F2124" s="3"/>
      <c r="G2124" s="3"/>
      <c r="N2124" s="3"/>
      <c r="Q2124" s="3"/>
      <c r="R2124" s="3"/>
      <c r="S2124" s="3"/>
      <c r="V2124" s="3"/>
      <c r="W2124" s="3"/>
      <c r="X2124" s="3"/>
      <c r="Y2124" s="3"/>
      <c r="Z2124" s="3"/>
      <c r="AA2124" s="3"/>
      <c r="AB2124" s="3"/>
    </row>
    <row r="2125" spans="1:28" x14ac:dyDescent="0.3">
      <c r="A2125" s="2"/>
      <c r="F2125" s="3"/>
      <c r="G2125" s="3"/>
      <c r="N2125" s="3"/>
      <c r="Q2125" s="3"/>
      <c r="R2125" s="3"/>
      <c r="S2125" s="3"/>
      <c r="V2125" s="3"/>
      <c r="W2125" s="3"/>
      <c r="X2125" s="3"/>
      <c r="Y2125" s="3"/>
      <c r="Z2125" s="3"/>
      <c r="AA2125" s="3"/>
      <c r="AB2125" s="3"/>
    </row>
    <row r="2126" spans="1:28" x14ac:dyDescent="0.3">
      <c r="A2126" s="2"/>
      <c r="F2126" s="3"/>
      <c r="G2126" s="3"/>
      <c r="N2126" s="3"/>
      <c r="Q2126" s="3"/>
      <c r="R2126" s="3"/>
      <c r="S2126" s="3"/>
      <c r="V2126" s="3"/>
      <c r="W2126" s="3"/>
      <c r="X2126" s="3"/>
      <c r="Y2126" s="3"/>
      <c r="Z2126" s="3"/>
      <c r="AA2126" s="3"/>
      <c r="AB2126" s="3"/>
    </row>
    <row r="2127" spans="1:28" x14ac:dyDescent="0.3">
      <c r="A2127" s="2"/>
      <c r="F2127" s="3"/>
      <c r="G2127" s="3"/>
      <c r="N2127" s="3"/>
      <c r="Q2127" s="3"/>
      <c r="R2127" s="3"/>
      <c r="S2127" s="3"/>
      <c r="V2127" s="3"/>
      <c r="W2127" s="3"/>
      <c r="X2127" s="3"/>
      <c r="Y2127" s="3"/>
      <c r="Z2127" s="3"/>
      <c r="AA2127" s="3"/>
      <c r="AB2127" s="3"/>
    </row>
    <row r="2128" spans="1:28" x14ac:dyDescent="0.3">
      <c r="A2128" s="2"/>
      <c r="F2128" s="3"/>
      <c r="G2128" s="3"/>
      <c r="N2128" s="3"/>
      <c r="Q2128" s="3"/>
      <c r="R2128" s="3"/>
      <c r="S2128" s="3"/>
      <c r="V2128" s="3"/>
      <c r="W2128" s="3"/>
      <c r="X2128" s="3"/>
      <c r="Y2128" s="3"/>
      <c r="Z2128" s="3"/>
      <c r="AA2128" s="3"/>
      <c r="AB2128" s="3"/>
    </row>
    <row r="2129" spans="1:28" x14ac:dyDescent="0.3">
      <c r="A2129" s="2"/>
      <c r="F2129" s="3"/>
      <c r="G2129" s="3"/>
      <c r="N2129" s="3"/>
      <c r="Q2129" s="3"/>
      <c r="R2129" s="3"/>
      <c r="S2129" s="3"/>
      <c r="V2129" s="3"/>
      <c r="W2129" s="3"/>
      <c r="X2129" s="3"/>
      <c r="Y2129" s="3"/>
      <c r="Z2129" s="3"/>
      <c r="AA2129" s="3"/>
      <c r="AB2129" s="3"/>
    </row>
    <row r="2130" spans="1:28" x14ac:dyDescent="0.3">
      <c r="A2130" s="2"/>
      <c r="F2130" s="3"/>
      <c r="G2130" s="3"/>
      <c r="N2130" s="3"/>
      <c r="Q2130" s="3"/>
      <c r="R2130" s="3"/>
      <c r="S2130" s="3"/>
      <c r="V2130" s="3"/>
      <c r="W2130" s="3"/>
      <c r="X2130" s="3"/>
      <c r="Y2130" s="3"/>
      <c r="Z2130" s="3"/>
      <c r="AA2130" s="3"/>
      <c r="AB2130" s="3"/>
    </row>
    <row r="2131" spans="1:28" x14ac:dyDescent="0.3">
      <c r="A2131" s="2"/>
      <c r="F2131" s="3"/>
      <c r="G2131" s="3"/>
      <c r="N2131" s="3"/>
      <c r="Q2131" s="3"/>
      <c r="R2131" s="3"/>
      <c r="S2131" s="3"/>
      <c r="V2131" s="3"/>
      <c r="W2131" s="3"/>
      <c r="X2131" s="3"/>
      <c r="Y2131" s="3"/>
      <c r="Z2131" s="3"/>
      <c r="AA2131" s="3"/>
      <c r="AB2131" s="3"/>
    </row>
    <row r="2132" spans="1:28" x14ac:dyDescent="0.3">
      <c r="A2132" s="2"/>
      <c r="F2132" s="3"/>
      <c r="G2132" s="3"/>
      <c r="N2132" s="3"/>
      <c r="Q2132" s="3"/>
      <c r="R2132" s="3"/>
      <c r="S2132" s="3"/>
      <c r="V2132" s="3"/>
      <c r="W2132" s="3"/>
      <c r="X2132" s="3"/>
      <c r="Y2132" s="3"/>
      <c r="Z2132" s="3"/>
      <c r="AA2132" s="3"/>
      <c r="AB2132" s="3"/>
    </row>
    <row r="2133" spans="1:28" x14ac:dyDescent="0.3">
      <c r="A2133" s="2"/>
      <c r="F2133" s="3"/>
      <c r="G2133" s="3"/>
      <c r="N2133" s="3"/>
      <c r="Q2133" s="3"/>
      <c r="R2133" s="3"/>
      <c r="S2133" s="3"/>
      <c r="V2133" s="3"/>
      <c r="W2133" s="3"/>
      <c r="X2133" s="3"/>
      <c r="Y2133" s="3"/>
      <c r="Z2133" s="3"/>
      <c r="AA2133" s="3"/>
      <c r="AB2133" s="3"/>
    </row>
    <row r="2134" spans="1:28" x14ac:dyDescent="0.3">
      <c r="A2134" s="2"/>
      <c r="F2134" s="3"/>
      <c r="G2134" s="3"/>
      <c r="N2134" s="3"/>
      <c r="Q2134" s="3"/>
      <c r="R2134" s="3"/>
      <c r="S2134" s="3"/>
      <c r="V2134" s="3"/>
      <c r="W2134" s="3"/>
      <c r="X2134" s="3"/>
      <c r="Y2134" s="3"/>
      <c r="Z2134" s="3"/>
      <c r="AA2134" s="3"/>
      <c r="AB2134" s="3"/>
    </row>
    <row r="2135" spans="1:28" x14ac:dyDescent="0.3">
      <c r="A2135" s="2"/>
      <c r="F2135" s="3"/>
      <c r="G2135" s="3"/>
      <c r="N2135" s="3"/>
      <c r="Q2135" s="3"/>
      <c r="R2135" s="3"/>
      <c r="S2135" s="3"/>
      <c r="V2135" s="3"/>
      <c r="W2135" s="3"/>
      <c r="X2135" s="3"/>
      <c r="Y2135" s="3"/>
      <c r="Z2135" s="3"/>
      <c r="AA2135" s="3"/>
      <c r="AB2135" s="3"/>
    </row>
    <row r="2136" spans="1:28" x14ac:dyDescent="0.3">
      <c r="A2136" s="2"/>
      <c r="F2136" s="3"/>
      <c r="G2136" s="3"/>
      <c r="N2136" s="3"/>
      <c r="Q2136" s="3"/>
      <c r="R2136" s="3"/>
      <c r="S2136" s="3"/>
      <c r="V2136" s="3"/>
      <c r="W2136" s="3"/>
      <c r="X2136" s="3"/>
      <c r="Y2136" s="3"/>
      <c r="Z2136" s="3"/>
      <c r="AA2136" s="3"/>
      <c r="AB2136" s="3"/>
    </row>
    <row r="2137" spans="1:28" x14ac:dyDescent="0.3">
      <c r="A2137" s="2"/>
      <c r="F2137" s="3"/>
      <c r="G2137" s="3"/>
      <c r="N2137" s="3"/>
      <c r="Q2137" s="3"/>
      <c r="R2137" s="3"/>
      <c r="S2137" s="3"/>
      <c r="V2137" s="3"/>
      <c r="W2137" s="3"/>
      <c r="X2137" s="3"/>
      <c r="Y2137" s="3"/>
      <c r="Z2137" s="3"/>
      <c r="AA2137" s="3"/>
      <c r="AB2137" s="3"/>
    </row>
    <row r="2138" spans="1:28" x14ac:dyDescent="0.3">
      <c r="A2138" s="2"/>
      <c r="F2138" s="3"/>
      <c r="G2138" s="3"/>
      <c r="N2138" s="3"/>
      <c r="Q2138" s="3"/>
      <c r="R2138" s="3"/>
      <c r="S2138" s="3"/>
      <c r="V2138" s="3"/>
      <c r="W2138" s="3"/>
      <c r="X2138" s="3"/>
      <c r="Y2138" s="3"/>
      <c r="Z2138" s="3"/>
      <c r="AA2138" s="3"/>
      <c r="AB2138" s="3"/>
    </row>
    <row r="2139" spans="1:28" x14ac:dyDescent="0.3">
      <c r="A2139" s="2"/>
      <c r="F2139" s="3"/>
      <c r="G2139" s="3"/>
      <c r="N2139" s="3"/>
      <c r="Q2139" s="3"/>
      <c r="R2139" s="3"/>
      <c r="S2139" s="3"/>
      <c r="V2139" s="3"/>
      <c r="W2139" s="3"/>
      <c r="X2139" s="3"/>
      <c r="Y2139" s="3"/>
      <c r="Z2139" s="3"/>
      <c r="AA2139" s="3"/>
      <c r="AB2139" s="3"/>
    </row>
    <row r="2140" spans="1:28" x14ac:dyDescent="0.3">
      <c r="A2140" s="2"/>
      <c r="F2140" s="3"/>
      <c r="G2140" s="3"/>
      <c r="N2140" s="3"/>
      <c r="Q2140" s="3"/>
      <c r="R2140" s="3"/>
      <c r="S2140" s="3"/>
      <c r="V2140" s="3"/>
      <c r="W2140" s="3"/>
      <c r="X2140" s="3"/>
      <c r="Y2140" s="3"/>
      <c r="Z2140" s="3"/>
      <c r="AA2140" s="3"/>
      <c r="AB2140" s="3"/>
    </row>
    <row r="2141" spans="1:28" x14ac:dyDescent="0.3">
      <c r="A2141" s="2"/>
      <c r="F2141" s="3"/>
      <c r="G2141" s="3"/>
      <c r="N2141" s="3"/>
      <c r="Q2141" s="3"/>
      <c r="R2141" s="3"/>
      <c r="S2141" s="3"/>
      <c r="V2141" s="3"/>
      <c r="W2141" s="3"/>
      <c r="X2141" s="3"/>
      <c r="Y2141" s="3"/>
      <c r="Z2141" s="3"/>
      <c r="AA2141" s="3"/>
      <c r="AB2141" s="3"/>
    </row>
    <row r="2142" spans="1:28" x14ac:dyDescent="0.3">
      <c r="A2142" s="2"/>
      <c r="F2142" s="3"/>
      <c r="G2142" s="3"/>
      <c r="N2142" s="3"/>
      <c r="Q2142" s="3"/>
      <c r="R2142" s="3"/>
      <c r="S2142" s="3"/>
      <c r="V2142" s="3"/>
      <c r="W2142" s="3"/>
      <c r="X2142" s="3"/>
      <c r="Y2142" s="3"/>
      <c r="Z2142" s="3"/>
      <c r="AA2142" s="3"/>
      <c r="AB2142" s="3"/>
    </row>
    <row r="2143" spans="1:28" x14ac:dyDescent="0.3">
      <c r="A2143" s="2"/>
      <c r="F2143" s="3"/>
      <c r="G2143" s="3"/>
      <c r="N2143" s="3"/>
      <c r="Q2143" s="3"/>
      <c r="R2143" s="3"/>
      <c r="S2143" s="3"/>
      <c r="V2143" s="3"/>
      <c r="W2143" s="3"/>
      <c r="X2143" s="3"/>
      <c r="Y2143" s="3"/>
      <c r="Z2143" s="3"/>
      <c r="AA2143" s="3"/>
      <c r="AB2143" s="3"/>
    </row>
    <row r="2144" spans="1:28" x14ac:dyDescent="0.3">
      <c r="A2144" s="2"/>
      <c r="F2144" s="3"/>
      <c r="G2144" s="3"/>
      <c r="N2144" s="3"/>
      <c r="Q2144" s="3"/>
      <c r="R2144" s="3"/>
      <c r="S2144" s="3"/>
      <c r="V2144" s="3"/>
      <c r="W2144" s="3"/>
      <c r="X2144" s="3"/>
      <c r="Y2144" s="3"/>
      <c r="Z2144" s="3"/>
      <c r="AA2144" s="3"/>
      <c r="AB2144" s="3"/>
    </row>
    <row r="2145" spans="1:28" x14ac:dyDescent="0.3">
      <c r="A2145" s="2"/>
      <c r="F2145" s="3"/>
      <c r="G2145" s="3"/>
      <c r="N2145" s="3"/>
      <c r="Q2145" s="3"/>
      <c r="R2145" s="3"/>
      <c r="S2145" s="3"/>
      <c r="V2145" s="3"/>
      <c r="W2145" s="3"/>
      <c r="X2145" s="3"/>
      <c r="Y2145" s="3"/>
      <c r="Z2145" s="3"/>
      <c r="AA2145" s="3"/>
      <c r="AB2145" s="3"/>
    </row>
    <row r="2146" spans="1:28" x14ac:dyDescent="0.3">
      <c r="A2146" s="2"/>
      <c r="F2146" s="3"/>
      <c r="G2146" s="3"/>
      <c r="N2146" s="3"/>
      <c r="Q2146" s="3"/>
      <c r="R2146" s="3"/>
      <c r="S2146" s="3"/>
      <c r="V2146" s="3"/>
      <c r="W2146" s="3"/>
      <c r="X2146" s="3"/>
      <c r="Y2146" s="3"/>
      <c r="Z2146" s="3"/>
      <c r="AA2146" s="3"/>
      <c r="AB2146" s="3"/>
    </row>
    <row r="2147" spans="1:28" x14ac:dyDescent="0.3">
      <c r="A2147" s="2"/>
      <c r="F2147" s="3"/>
      <c r="G2147" s="3"/>
      <c r="N2147" s="3"/>
      <c r="Q2147" s="3"/>
      <c r="R2147" s="3"/>
      <c r="S2147" s="3"/>
      <c r="V2147" s="3"/>
      <c r="W2147" s="3"/>
      <c r="X2147" s="3"/>
      <c r="Y2147" s="3"/>
      <c r="Z2147" s="3"/>
      <c r="AA2147" s="3"/>
      <c r="AB2147" s="3"/>
    </row>
    <row r="2148" spans="1:28" x14ac:dyDescent="0.3">
      <c r="A2148" s="2"/>
      <c r="F2148" s="3"/>
      <c r="G2148" s="3"/>
      <c r="N2148" s="3"/>
      <c r="Q2148" s="3"/>
      <c r="R2148" s="3"/>
      <c r="S2148" s="3"/>
      <c r="V2148" s="3"/>
      <c r="W2148" s="3"/>
      <c r="X2148" s="3"/>
      <c r="Y2148" s="3"/>
      <c r="Z2148" s="3"/>
      <c r="AA2148" s="3"/>
      <c r="AB2148" s="3"/>
    </row>
    <row r="2149" spans="1:28" x14ac:dyDescent="0.3">
      <c r="A2149" s="2"/>
      <c r="F2149" s="3"/>
      <c r="G2149" s="3"/>
      <c r="N2149" s="3"/>
      <c r="Q2149" s="3"/>
      <c r="R2149" s="3"/>
      <c r="S2149" s="3"/>
      <c r="V2149" s="3"/>
      <c r="W2149" s="3"/>
      <c r="X2149" s="3"/>
      <c r="Y2149" s="3"/>
      <c r="Z2149" s="3"/>
      <c r="AA2149" s="3"/>
      <c r="AB2149" s="3"/>
    </row>
    <row r="2150" spans="1:28" x14ac:dyDescent="0.3">
      <c r="A2150" s="2"/>
      <c r="F2150" s="3"/>
      <c r="G2150" s="3"/>
      <c r="N2150" s="3"/>
      <c r="Q2150" s="3"/>
      <c r="R2150" s="3"/>
      <c r="S2150" s="3"/>
      <c r="V2150" s="3"/>
      <c r="W2150" s="3"/>
      <c r="X2150" s="3"/>
      <c r="Y2150" s="3"/>
      <c r="Z2150" s="3"/>
      <c r="AA2150" s="3"/>
      <c r="AB2150" s="3"/>
    </row>
    <row r="2151" spans="1:28" x14ac:dyDescent="0.3">
      <c r="A2151" s="2"/>
      <c r="F2151" s="3"/>
      <c r="G2151" s="3"/>
      <c r="N2151" s="3"/>
      <c r="Q2151" s="3"/>
      <c r="R2151" s="3"/>
      <c r="S2151" s="3"/>
      <c r="V2151" s="3"/>
      <c r="W2151" s="3"/>
      <c r="X2151" s="3"/>
      <c r="Y2151" s="3"/>
      <c r="Z2151" s="3"/>
      <c r="AA2151" s="3"/>
      <c r="AB2151" s="3"/>
    </row>
    <row r="2152" spans="1:28" x14ac:dyDescent="0.3">
      <c r="A2152" s="2"/>
      <c r="F2152" s="3"/>
      <c r="G2152" s="3"/>
      <c r="N2152" s="3"/>
      <c r="Q2152" s="3"/>
      <c r="R2152" s="3"/>
      <c r="S2152" s="3"/>
      <c r="V2152" s="3"/>
      <c r="W2152" s="3"/>
      <c r="X2152" s="3"/>
      <c r="Y2152" s="3"/>
      <c r="Z2152" s="3"/>
      <c r="AA2152" s="3"/>
      <c r="AB2152" s="3"/>
    </row>
    <row r="2153" spans="1:28" x14ac:dyDescent="0.3">
      <c r="A2153" s="2"/>
      <c r="F2153" s="3"/>
      <c r="G2153" s="3"/>
      <c r="N2153" s="3"/>
      <c r="Q2153" s="3"/>
      <c r="R2153" s="3"/>
      <c r="S2153" s="3"/>
      <c r="V2153" s="3"/>
      <c r="W2153" s="3"/>
      <c r="X2153" s="3"/>
      <c r="Y2153" s="3"/>
      <c r="Z2153" s="3"/>
      <c r="AA2153" s="3"/>
      <c r="AB2153" s="3"/>
    </row>
    <row r="2154" spans="1:28" x14ac:dyDescent="0.3">
      <c r="A2154" s="2"/>
      <c r="F2154" s="3"/>
      <c r="G2154" s="3"/>
      <c r="N2154" s="3"/>
      <c r="Q2154" s="3"/>
      <c r="R2154" s="3"/>
      <c r="S2154" s="3"/>
      <c r="V2154" s="3"/>
      <c r="W2154" s="3"/>
      <c r="X2154" s="3"/>
      <c r="Y2154" s="3"/>
      <c r="Z2154" s="3"/>
      <c r="AA2154" s="3"/>
      <c r="AB2154" s="3"/>
    </row>
    <row r="2155" spans="1:28" x14ac:dyDescent="0.3">
      <c r="A2155" s="2"/>
      <c r="F2155" s="3"/>
      <c r="G2155" s="3"/>
      <c r="N2155" s="3"/>
      <c r="Q2155" s="3"/>
      <c r="R2155" s="3"/>
      <c r="S2155" s="3"/>
      <c r="V2155" s="3"/>
      <c r="W2155" s="3"/>
      <c r="X2155" s="3"/>
      <c r="Y2155" s="3"/>
      <c r="Z2155" s="3"/>
      <c r="AA2155" s="3"/>
      <c r="AB2155" s="3"/>
    </row>
    <row r="2156" spans="1:28" x14ac:dyDescent="0.3">
      <c r="A2156" s="2"/>
      <c r="F2156" s="3"/>
      <c r="G2156" s="3"/>
      <c r="N2156" s="3"/>
      <c r="Q2156" s="3"/>
      <c r="R2156" s="3"/>
      <c r="S2156" s="3"/>
      <c r="V2156" s="3"/>
      <c r="W2156" s="3"/>
      <c r="X2156" s="3"/>
      <c r="Y2156" s="3"/>
      <c r="Z2156" s="3"/>
      <c r="AA2156" s="3"/>
      <c r="AB2156" s="3"/>
    </row>
    <row r="2157" spans="1:28" x14ac:dyDescent="0.3">
      <c r="A2157" s="2"/>
      <c r="F2157" s="3"/>
      <c r="G2157" s="3"/>
      <c r="N2157" s="3"/>
      <c r="Q2157" s="3"/>
      <c r="R2157" s="3"/>
      <c r="S2157" s="3"/>
      <c r="V2157" s="3"/>
      <c r="W2157" s="3"/>
      <c r="X2157" s="3"/>
      <c r="Y2157" s="3"/>
      <c r="Z2157" s="3"/>
      <c r="AA2157" s="3"/>
      <c r="AB2157" s="3"/>
    </row>
    <row r="2158" spans="1:28" x14ac:dyDescent="0.3">
      <c r="A2158" s="2"/>
      <c r="F2158" s="3"/>
      <c r="G2158" s="3"/>
      <c r="N2158" s="3"/>
      <c r="Q2158" s="3"/>
      <c r="R2158" s="3"/>
      <c r="S2158" s="3"/>
      <c r="V2158" s="3"/>
      <c r="W2158" s="3"/>
      <c r="X2158" s="3"/>
      <c r="Y2158" s="3"/>
      <c r="Z2158" s="3"/>
      <c r="AA2158" s="3"/>
      <c r="AB2158" s="3"/>
    </row>
    <row r="2159" spans="1:28" x14ac:dyDescent="0.3">
      <c r="A2159" s="2"/>
      <c r="F2159" s="3"/>
      <c r="G2159" s="3"/>
      <c r="N2159" s="3"/>
      <c r="Q2159" s="3"/>
      <c r="R2159" s="3"/>
      <c r="S2159" s="3"/>
      <c r="V2159" s="3"/>
      <c r="W2159" s="3"/>
      <c r="X2159" s="3"/>
      <c r="Y2159" s="3"/>
      <c r="Z2159" s="3"/>
      <c r="AA2159" s="3"/>
      <c r="AB2159" s="3"/>
    </row>
    <row r="2160" spans="1:28" x14ac:dyDescent="0.3">
      <c r="A2160" s="2"/>
      <c r="F2160" s="3"/>
      <c r="G2160" s="3"/>
      <c r="N2160" s="3"/>
      <c r="Q2160" s="3"/>
      <c r="R2160" s="3"/>
      <c r="S2160" s="3"/>
      <c r="V2160" s="3"/>
      <c r="W2160" s="3"/>
      <c r="X2160" s="3"/>
      <c r="Y2160" s="3"/>
      <c r="Z2160" s="3"/>
      <c r="AA2160" s="3"/>
      <c r="AB2160" s="3"/>
    </row>
    <row r="2161" spans="1:28" x14ac:dyDescent="0.3">
      <c r="A2161" s="2"/>
      <c r="F2161" s="3"/>
      <c r="G2161" s="3"/>
      <c r="N2161" s="3"/>
      <c r="Q2161" s="3"/>
      <c r="R2161" s="3"/>
      <c r="S2161" s="3"/>
      <c r="V2161" s="3"/>
      <c r="W2161" s="3"/>
      <c r="X2161" s="3"/>
      <c r="Y2161" s="3"/>
      <c r="Z2161" s="3"/>
      <c r="AA2161" s="3"/>
      <c r="AB2161" s="3"/>
    </row>
    <row r="2162" spans="1:28" x14ac:dyDescent="0.3">
      <c r="A2162" s="2"/>
      <c r="F2162" s="3"/>
      <c r="G2162" s="3"/>
      <c r="N2162" s="3"/>
      <c r="Q2162" s="3"/>
      <c r="R2162" s="3"/>
      <c r="S2162" s="3"/>
      <c r="V2162" s="3"/>
      <c r="W2162" s="3"/>
      <c r="X2162" s="3"/>
      <c r="Y2162" s="3"/>
      <c r="Z2162" s="3"/>
      <c r="AA2162" s="3"/>
      <c r="AB2162" s="3"/>
    </row>
    <row r="2163" spans="1:28" x14ac:dyDescent="0.3">
      <c r="A2163" s="2"/>
      <c r="F2163" s="3"/>
      <c r="G2163" s="3"/>
      <c r="N2163" s="3"/>
      <c r="Q2163" s="3"/>
      <c r="R2163" s="3"/>
      <c r="S2163" s="3"/>
      <c r="V2163" s="3"/>
      <c r="W2163" s="3"/>
      <c r="X2163" s="3"/>
      <c r="Y2163" s="3"/>
      <c r="Z2163" s="3"/>
      <c r="AA2163" s="3"/>
      <c r="AB2163" s="3"/>
    </row>
    <row r="2164" spans="1:28" x14ac:dyDescent="0.3">
      <c r="A2164" s="2"/>
      <c r="F2164" s="3"/>
      <c r="G2164" s="3"/>
      <c r="N2164" s="3"/>
      <c r="Q2164" s="3"/>
      <c r="R2164" s="3"/>
      <c r="S2164" s="3"/>
      <c r="V2164" s="3"/>
      <c r="W2164" s="3"/>
      <c r="X2164" s="3"/>
      <c r="Y2164" s="3"/>
      <c r="Z2164" s="3"/>
      <c r="AA2164" s="3"/>
      <c r="AB2164" s="3"/>
    </row>
    <row r="2165" spans="1:28" x14ac:dyDescent="0.3">
      <c r="A2165" s="2"/>
      <c r="F2165" s="3"/>
      <c r="G2165" s="3"/>
      <c r="N2165" s="3"/>
      <c r="Q2165" s="3"/>
      <c r="R2165" s="3"/>
      <c r="S2165" s="3"/>
      <c r="V2165" s="3"/>
      <c r="W2165" s="3"/>
      <c r="X2165" s="3"/>
      <c r="Y2165" s="3"/>
      <c r="Z2165" s="3"/>
      <c r="AA2165" s="3"/>
      <c r="AB2165" s="3"/>
    </row>
    <row r="2166" spans="1:28" x14ac:dyDescent="0.3">
      <c r="A2166" s="2"/>
      <c r="F2166" s="3"/>
      <c r="G2166" s="3"/>
      <c r="N2166" s="3"/>
      <c r="Q2166" s="3"/>
      <c r="R2166" s="3"/>
      <c r="S2166" s="3"/>
      <c r="V2166" s="3"/>
      <c r="W2166" s="3"/>
      <c r="X2166" s="3"/>
      <c r="Y2166" s="3"/>
      <c r="Z2166" s="3"/>
      <c r="AA2166" s="3"/>
      <c r="AB2166" s="3"/>
    </row>
    <row r="2167" spans="1:28" x14ac:dyDescent="0.3">
      <c r="A2167" s="2"/>
      <c r="F2167" s="3"/>
      <c r="G2167" s="3"/>
      <c r="N2167" s="3"/>
      <c r="Q2167" s="3"/>
      <c r="R2167" s="3"/>
      <c r="S2167" s="3"/>
      <c r="V2167" s="3"/>
      <c r="W2167" s="3"/>
      <c r="X2167" s="3"/>
      <c r="Y2167" s="3"/>
      <c r="Z2167" s="3"/>
      <c r="AA2167" s="3"/>
      <c r="AB2167" s="3"/>
    </row>
    <row r="2168" spans="1:28" x14ac:dyDescent="0.3">
      <c r="A2168" s="2"/>
      <c r="F2168" s="3"/>
      <c r="G2168" s="3"/>
      <c r="N2168" s="3"/>
      <c r="Q2168" s="3"/>
      <c r="R2168" s="3"/>
      <c r="S2168" s="3"/>
      <c r="V2168" s="3"/>
      <c r="W2168" s="3"/>
      <c r="X2168" s="3"/>
      <c r="Y2168" s="3"/>
      <c r="Z2168" s="3"/>
      <c r="AA2168" s="3"/>
      <c r="AB2168" s="3"/>
    </row>
    <row r="2169" spans="1:28" x14ac:dyDescent="0.3">
      <c r="A2169" s="2"/>
      <c r="F2169" s="3"/>
      <c r="G2169" s="3"/>
      <c r="N2169" s="3"/>
      <c r="Q2169" s="3"/>
      <c r="R2169" s="3"/>
      <c r="S2169" s="3"/>
      <c r="V2169" s="3"/>
      <c r="W2169" s="3"/>
      <c r="X2169" s="3"/>
      <c r="Y2169" s="3"/>
      <c r="Z2169" s="3"/>
      <c r="AA2169" s="3"/>
      <c r="AB2169" s="3"/>
    </row>
    <row r="2170" spans="1:28" x14ac:dyDescent="0.3">
      <c r="A2170" s="2"/>
      <c r="F2170" s="3"/>
      <c r="G2170" s="3"/>
      <c r="N2170" s="3"/>
      <c r="Q2170" s="3"/>
      <c r="R2170" s="3"/>
      <c r="S2170" s="3"/>
      <c r="V2170" s="3"/>
      <c r="W2170" s="3"/>
      <c r="X2170" s="3"/>
      <c r="Y2170" s="3"/>
      <c r="Z2170" s="3"/>
      <c r="AA2170" s="3"/>
      <c r="AB2170" s="3"/>
    </row>
    <row r="2171" spans="1:28" x14ac:dyDescent="0.3">
      <c r="A2171" s="2"/>
      <c r="F2171" s="3"/>
      <c r="G2171" s="3"/>
      <c r="N2171" s="3"/>
      <c r="Q2171" s="3"/>
      <c r="R2171" s="3"/>
      <c r="S2171" s="3"/>
      <c r="V2171" s="3"/>
      <c r="W2171" s="3"/>
      <c r="X2171" s="3"/>
      <c r="Y2171" s="3"/>
      <c r="Z2171" s="3"/>
      <c r="AA2171" s="3"/>
      <c r="AB2171" s="3"/>
    </row>
    <row r="2172" spans="1:28" x14ac:dyDescent="0.3">
      <c r="A2172" s="2"/>
      <c r="F2172" s="3"/>
      <c r="G2172" s="3"/>
      <c r="N2172" s="3"/>
      <c r="Q2172" s="3"/>
      <c r="R2172" s="3"/>
      <c r="S2172" s="3"/>
      <c r="V2172" s="3"/>
      <c r="W2172" s="3"/>
      <c r="X2172" s="3"/>
      <c r="Y2172" s="3"/>
      <c r="Z2172" s="3"/>
      <c r="AA2172" s="3"/>
      <c r="AB2172" s="3"/>
    </row>
    <row r="2173" spans="1:28" x14ac:dyDescent="0.3">
      <c r="A2173" s="2"/>
      <c r="F2173" s="3"/>
      <c r="G2173" s="3"/>
      <c r="N2173" s="3"/>
      <c r="Q2173" s="3"/>
      <c r="R2173" s="3"/>
      <c r="S2173" s="3"/>
      <c r="V2173" s="3"/>
      <c r="W2173" s="3"/>
      <c r="X2173" s="3"/>
      <c r="Y2173" s="3"/>
      <c r="Z2173" s="3"/>
      <c r="AA2173" s="3"/>
      <c r="AB2173" s="3"/>
    </row>
    <row r="2174" spans="1:28" x14ac:dyDescent="0.3">
      <c r="A2174" s="2"/>
      <c r="F2174" s="3"/>
      <c r="G2174" s="3"/>
      <c r="N2174" s="3"/>
      <c r="Q2174" s="3"/>
      <c r="R2174" s="3"/>
      <c r="S2174" s="3"/>
      <c r="V2174" s="3"/>
      <c r="W2174" s="3"/>
      <c r="X2174" s="3"/>
      <c r="Y2174" s="3"/>
      <c r="Z2174" s="3"/>
      <c r="AA2174" s="3"/>
      <c r="AB2174" s="3"/>
    </row>
    <row r="2175" spans="1:28" x14ac:dyDescent="0.3">
      <c r="A2175" s="2"/>
      <c r="F2175" s="3"/>
      <c r="G2175" s="3"/>
      <c r="N2175" s="3"/>
      <c r="Q2175" s="3"/>
      <c r="R2175" s="3"/>
      <c r="S2175" s="3"/>
      <c r="V2175" s="3"/>
      <c r="W2175" s="3"/>
      <c r="X2175" s="3"/>
      <c r="Y2175" s="3"/>
      <c r="Z2175" s="3"/>
      <c r="AA2175" s="3"/>
      <c r="AB2175" s="3"/>
    </row>
    <row r="2176" spans="1:28" x14ac:dyDescent="0.3">
      <c r="A2176" s="2"/>
      <c r="F2176" s="3"/>
      <c r="G2176" s="3"/>
      <c r="N2176" s="3"/>
      <c r="Q2176" s="3"/>
      <c r="R2176" s="3"/>
      <c r="S2176" s="3"/>
      <c r="V2176" s="3"/>
      <c r="W2176" s="3"/>
      <c r="X2176" s="3"/>
      <c r="Y2176" s="3"/>
      <c r="Z2176" s="3"/>
      <c r="AA2176" s="3"/>
      <c r="AB2176" s="3"/>
    </row>
    <row r="2177" spans="1:28" x14ac:dyDescent="0.3">
      <c r="A2177" s="2"/>
      <c r="F2177" s="3"/>
      <c r="G2177" s="3"/>
      <c r="N2177" s="3"/>
      <c r="Q2177" s="3"/>
      <c r="R2177" s="3"/>
      <c r="S2177" s="3"/>
      <c r="V2177" s="3"/>
      <c r="W2177" s="3"/>
      <c r="X2177" s="3"/>
      <c r="Y2177" s="3"/>
      <c r="Z2177" s="3"/>
      <c r="AA2177" s="3"/>
      <c r="AB2177" s="3"/>
    </row>
    <row r="2178" spans="1:28" x14ac:dyDescent="0.3">
      <c r="A2178" s="2"/>
      <c r="F2178" s="3"/>
      <c r="G2178" s="3"/>
      <c r="N2178" s="3"/>
      <c r="Q2178" s="3"/>
      <c r="R2178" s="3"/>
      <c r="S2178" s="3"/>
      <c r="V2178" s="3"/>
      <c r="W2178" s="3"/>
      <c r="X2178" s="3"/>
      <c r="Y2178" s="3"/>
      <c r="Z2178" s="3"/>
      <c r="AA2178" s="3"/>
      <c r="AB2178" s="3"/>
    </row>
    <row r="2179" spans="1:28" x14ac:dyDescent="0.3">
      <c r="A2179" s="2"/>
      <c r="F2179" s="3"/>
      <c r="G2179" s="3"/>
      <c r="N2179" s="3"/>
      <c r="Q2179" s="3"/>
      <c r="R2179" s="3"/>
      <c r="S2179" s="3"/>
      <c r="V2179" s="3"/>
      <c r="W2179" s="3"/>
      <c r="X2179" s="3"/>
      <c r="Y2179" s="3"/>
      <c r="Z2179" s="3"/>
      <c r="AA2179" s="3"/>
      <c r="AB2179" s="3"/>
    </row>
    <row r="2180" spans="1:28" x14ac:dyDescent="0.3">
      <c r="A2180" s="2"/>
      <c r="F2180" s="3"/>
      <c r="G2180" s="3"/>
      <c r="N2180" s="3"/>
      <c r="Q2180" s="3"/>
      <c r="R2180" s="3"/>
      <c r="S2180" s="3"/>
      <c r="V2180" s="3"/>
      <c r="W2180" s="3"/>
      <c r="X2180" s="3"/>
      <c r="Y2180" s="3"/>
      <c r="Z2180" s="3"/>
      <c r="AA2180" s="3"/>
      <c r="AB2180" s="3"/>
    </row>
    <row r="2181" spans="1:28" x14ac:dyDescent="0.3">
      <c r="A2181" s="2"/>
      <c r="F2181" s="3"/>
      <c r="G2181" s="3"/>
      <c r="N2181" s="3"/>
      <c r="Q2181" s="3"/>
      <c r="R2181" s="3"/>
      <c r="S2181" s="3"/>
      <c r="V2181" s="3"/>
      <c r="W2181" s="3"/>
      <c r="X2181" s="3"/>
      <c r="Y2181" s="3"/>
      <c r="Z2181" s="3"/>
      <c r="AA2181" s="3"/>
      <c r="AB2181" s="3"/>
    </row>
    <row r="2182" spans="1:28" x14ac:dyDescent="0.3">
      <c r="A2182" s="2"/>
      <c r="F2182" s="3"/>
      <c r="G2182" s="3"/>
      <c r="N2182" s="3"/>
      <c r="Q2182" s="3"/>
      <c r="R2182" s="3"/>
      <c r="S2182" s="3"/>
      <c r="V2182" s="3"/>
      <c r="W2182" s="3"/>
      <c r="X2182" s="3"/>
      <c r="Y2182" s="3"/>
      <c r="Z2182" s="3"/>
      <c r="AA2182" s="3"/>
      <c r="AB2182" s="3"/>
    </row>
    <row r="2183" spans="1:28" x14ac:dyDescent="0.3">
      <c r="A2183" s="2"/>
      <c r="F2183" s="3"/>
      <c r="G2183" s="3"/>
      <c r="N2183" s="3"/>
      <c r="Q2183" s="3"/>
      <c r="R2183" s="3"/>
      <c r="S2183" s="3"/>
      <c r="V2183" s="3"/>
      <c r="W2183" s="3"/>
      <c r="X2183" s="3"/>
      <c r="Y2183" s="3"/>
      <c r="Z2183" s="3"/>
      <c r="AA2183" s="3"/>
      <c r="AB2183" s="3"/>
    </row>
    <row r="2184" spans="1:28" x14ac:dyDescent="0.3">
      <c r="A2184" s="2"/>
      <c r="F2184" s="3"/>
      <c r="G2184" s="3"/>
      <c r="N2184" s="3"/>
      <c r="Q2184" s="3"/>
      <c r="R2184" s="3"/>
      <c r="S2184" s="3"/>
      <c r="V2184" s="3"/>
      <c r="W2184" s="3"/>
      <c r="X2184" s="3"/>
      <c r="Y2184" s="3"/>
      <c r="Z2184" s="3"/>
      <c r="AA2184" s="3"/>
      <c r="AB2184" s="3"/>
    </row>
    <row r="2185" spans="1:28" x14ac:dyDescent="0.3">
      <c r="A2185" s="2"/>
      <c r="F2185" s="3"/>
      <c r="G2185" s="3"/>
      <c r="N2185" s="3"/>
      <c r="Q2185" s="3"/>
      <c r="R2185" s="3"/>
      <c r="S2185" s="3"/>
      <c r="V2185" s="3"/>
      <c r="W2185" s="3"/>
      <c r="X2185" s="3"/>
      <c r="Y2185" s="3"/>
      <c r="Z2185" s="3"/>
      <c r="AA2185" s="3"/>
      <c r="AB2185" s="3"/>
    </row>
    <row r="2186" spans="1:28" x14ac:dyDescent="0.3">
      <c r="A2186" s="2"/>
      <c r="F2186" s="3"/>
      <c r="G2186" s="3"/>
      <c r="N2186" s="3"/>
      <c r="Q2186" s="3"/>
      <c r="R2186" s="3"/>
      <c r="S2186" s="3"/>
      <c r="V2186" s="3"/>
      <c r="W2186" s="3"/>
      <c r="X2186" s="3"/>
      <c r="Y2186" s="3"/>
      <c r="Z2186" s="3"/>
      <c r="AA2186" s="3"/>
      <c r="AB2186" s="3"/>
    </row>
    <row r="2187" spans="1:28" x14ac:dyDescent="0.3">
      <c r="A2187" s="2"/>
      <c r="F2187" s="3"/>
      <c r="G2187" s="3"/>
      <c r="N2187" s="3"/>
      <c r="Q2187" s="3"/>
      <c r="R2187" s="3"/>
      <c r="S2187" s="3"/>
      <c r="V2187" s="3"/>
      <c r="W2187" s="3"/>
      <c r="X2187" s="3"/>
      <c r="Y2187" s="3"/>
      <c r="Z2187" s="3"/>
      <c r="AA2187" s="3"/>
      <c r="AB2187" s="3"/>
    </row>
    <row r="2188" spans="1:28" x14ac:dyDescent="0.3">
      <c r="A2188" s="2"/>
      <c r="F2188" s="3"/>
      <c r="G2188" s="3"/>
      <c r="N2188" s="3"/>
      <c r="Q2188" s="3"/>
      <c r="R2188" s="3"/>
      <c r="S2188" s="3"/>
      <c r="V2188" s="3"/>
      <c r="W2188" s="3"/>
      <c r="X2188" s="3"/>
      <c r="Y2188" s="3"/>
      <c r="Z2188" s="3"/>
      <c r="AA2188" s="3"/>
      <c r="AB2188" s="3"/>
    </row>
    <row r="2189" spans="1:28" x14ac:dyDescent="0.3">
      <c r="A2189" s="2"/>
      <c r="F2189" s="3"/>
      <c r="G2189" s="3"/>
      <c r="N2189" s="3"/>
      <c r="Q2189" s="3"/>
      <c r="R2189" s="3"/>
      <c r="S2189" s="3"/>
      <c r="V2189" s="3"/>
      <c r="W2189" s="3"/>
      <c r="X2189" s="3"/>
      <c r="Y2189" s="3"/>
      <c r="Z2189" s="3"/>
      <c r="AA2189" s="3"/>
      <c r="AB2189" s="3"/>
    </row>
    <row r="2190" spans="1:28" x14ac:dyDescent="0.3">
      <c r="A2190" s="2"/>
      <c r="F2190" s="3"/>
      <c r="G2190" s="3"/>
      <c r="N2190" s="3"/>
      <c r="Q2190" s="3"/>
      <c r="R2190" s="3"/>
      <c r="S2190" s="3"/>
      <c r="V2190" s="3"/>
      <c r="W2190" s="3"/>
      <c r="X2190" s="3"/>
      <c r="Y2190" s="3"/>
      <c r="Z2190" s="3"/>
      <c r="AA2190" s="3"/>
      <c r="AB2190" s="3"/>
    </row>
    <row r="2191" spans="1:28" x14ac:dyDescent="0.3">
      <c r="A2191" s="2"/>
      <c r="F2191" s="3"/>
      <c r="G2191" s="3"/>
      <c r="N2191" s="3"/>
      <c r="Q2191" s="3"/>
      <c r="R2191" s="3"/>
      <c r="S2191" s="3"/>
      <c r="V2191" s="3"/>
      <c r="W2191" s="3"/>
      <c r="X2191" s="3"/>
      <c r="Y2191" s="3"/>
      <c r="Z2191" s="3"/>
      <c r="AA2191" s="3"/>
      <c r="AB2191" s="3"/>
    </row>
    <row r="2192" spans="1:28" x14ac:dyDescent="0.3">
      <c r="A2192" s="2"/>
      <c r="F2192" s="3"/>
      <c r="G2192" s="3"/>
      <c r="N2192" s="3"/>
      <c r="Q2192" s="3"/>
      <c r="R2192" s="3"/>
      <c r="S2192" s="3"/>
      <c r="V2192" s="3"/>
      <c r="W2192" s="3"/>
      <c r="X2192" s="3"/>
      <c r="Y2192" s="3"/>
      <c r="Z2192" s="3"/>
      <c r="AA2192" s="3"/>
      <c r="AB2192" s="3"/>
    </row>
    <row r="2193" spans="1:28" x14ac:dyDescent="0.3">
      <c r="A2193" s="2"/>
      <c r="F2193" s="3"/>
      <c r="G2193" s="3"/>
      <c r="N2193" s="3"/>
      <c r="Q2193" s="3"/>
      <c r="R2193" s="3"/>
      <c r="S2193" s="3"/>
      <c r="V2193" s="3"/>
      <c r="W2193" s="3"/>
      <c r="X2193" s="3"/>
      <c r="Y2193" s="3"/>
      <c r="Z2193" s="3"/>
      <c r="AA2193" s="3"/>
      <c r="AB2193" s="3"/>
    </row>
    <row r="2194" spans="1:28" x14ac:dyDescent="0.3">
      <c r="A2194" s="2"/>
      <c r="F2194" s="3"/>
      <c r="G2194" s="3"/>
      <c r="N2194" s="3"/>
      <c r="Q2194" s="3"/>
      <c r="R2194" s="3"/>
      <c r="S2194" s="3"/>
      <c r="V2194" s="3"/>
      <c r="W2194" s="3"/>
      <c r="X2194" s="3"/>
      <c r="Y2194" s="3"/>
      <c r="Z2194" s="3"/>
      <c r="AA2194" s="3"/>
      <c r="AB2194" s="3"/>
    </row>
    <row r="2195" spans="1:28" x14ac:dyDescent="0.3">
      <c r="A2195" s="2"/>
      <c r="F2195" s="3"/>
      <c r="G2195" s="3"/>
      <c r="N2195" s="3"/>
      <c r="Q2195" s="3"/>
      <c r="R2195" s="3"/>
      <c r="S2195" s="3"/>
      <c r="V2195" s="3"/>
      <c r="W2195" s="3"/>
      <c r="X2195" s="3"/>
      <c r="Y2195" s="3"/>
      <c r="Z2195" s="3"/>
      <c r="AA2195" s="3"/>
      <c r="AB2195" s="3"/>
    </row>
    <row r="2196" spans="1:28" x14ac:dyDescent="0.3">
      <c r="A2196" s="2"/>
      <c r="F2196" s="3"/>
      <c r="G2196" s="3"/>
      <c r="N2196" s="3"/>
      <c r="Q2196" s="3"/>
      <c r="R2196" s="3"/>
      <c r="S2196" s="3"/>
      <c r="V2196" s="3"/>
      <c r="W2196" s="3"/>
      <c r="X2196" s="3"/>
      <c r="Y2196" s="3"/>
      <c r="Z2196" s="3"/>
      <c r="AA2196" s="3"/>
      <c r="AB2196" s="3"/>
    </row>
    <row r="2197" spans="1:28" x14ac:dyDescent="0.3">
      <c r="A2197" s="2"/>
      <c r="F2197" s="3"/>
      <c r="G2197" s="3"/>
      <c r="N2197" s="3"/>
      <c r="Q2197" s="3"/>
      <c r="R2197" s="3"/>
      <c r="S2197" s="3"/>
      <c r="V2197" s="3"/>
      <c r="W2197" s="3"/>
      <c r="X2197" s="3"/>
      <c r="Y2197" s="3"/>
      <c r="Z2197" s="3"/>
      <c r="AA2197" s="3"/>
      <c r="AB2197" s="3"/>
    </row>
    <row r="2198" spans="1:28" x14ac:dyDescent="0.3">
      <c r="A2198" s="2"/>
      <c r="F2198" s="3"/>
      <c r="G2198" s="3"/>
      <c r="N2198" s="3"/>
      <c r="Q2198" s="3"/>
      <c r="R2198" s="3"/>
      <c r="S2198" s="3"/>
      <c r="V2198" s="3"/>
      <c r="W2198" s="3"/>
      <c r="X2198" s="3"/>
      <c r="Y2198" s="3"/>
      <c r="Z2198" s="3"/>
      <c r="AA2198" s="3"/>
      <c r="AB2198" s="3"/>
    </row>
    <row r="2199" spans="1:28" x14ac:dyDescent="0.3">
      <c r="A2199" s="2"/>
      <c r="F2199" s="3"/>
      <c r="G2199" s="3"/>
      <c r="N2199" s="3"/>
      <c r="Q2199" s="3"/>
      <c r="R2199" s="3"/>
      <c r="S2199" s="3"/>
      <c r="V2199" s="3"/>
      <c r="W2199" s="3"/>
      <c r="X2199" s="3"/>
      <c r="Y2199" s="3"/>
      <c r="Z2199" s="3"/>
      <c r="AA2199" s="3"/>
      <c r="AB2199" s="3"/>
    </row>
    <row r="2200" spans="1:28" x14ac:dyDescent="0.3">
      <c r="A2200" s="2"/>
      <c r="F2200" s="3"/>
      <c r="G2200" s="3"/>
      <c r="N2200" s="3"/>
      <c r="Q2200" s="3"/>
      <c r="R2200" s="3"/>
      <c r="S2200" s="3"/>
      <c r="V2200" s="3"/>
      <c r="W2200" s="3"/>
      <c r="X2200" s="3"/>
      <c r="Y2200" s="3"/>
      <c r="Z2200" s="3"/>
      <c r="AA2200" s="3"/>
      <c r="AB2200" s="3"/>
    </row>
    <row r="2201" spans="1:28" x14ac:dyDescent="0.3">
      <c r="A2201" s="2"/>
      <c r="F2201" s="3"/>
      <c r="G2201" s="3"/>
      <c r="N2201" s="3"/>
      <c r="Q2201" s="3"/>
      <c r="R2201" s="3"/>
      <c r="S2201" s="3"/>
      <c r="V2201" s="3"/>
      <c r="W2201" s="3"/>
      <c r="X2201" s="3"/>
      <c r="Y2201" s="3"/>
      <c r="Z2201" s="3"/>
      <c r="AA2201" s="3"/>
      <c r="AB2201" s="3"/>
    </row>
    <row r="2202" spans="1:28" x14ac:dyDescent="0.3">
      <c r="A2202" s="2"/>
      <c r="F2202" s="3"/>
      <c r="G2202" s="3"/>
      <c r="N2202" s="3"/>
      <c r="Q2202" s="3"/>
      <c r="R2202" s="3"/>
      <c r="S2202" s="3"/>
      <c r="V2202" s="3"/>
      <c r="W2202" s="3"/>
      <c r="X2202" s="3"/>
      <c r="Y2202" s="3"/>
      <c r="Z2202" s="3"/>
      <c r="AA2202" s="3"/>
      <c r="AB2202" s="3"/>
    </row>
    <row r="2203" spans="1:28" x14ac:dyDescent="0.3">
      <c r="A2203" s="2"/>
      <c r="F2203" s="3"/>
      <c r="G2203" s="3"/>
      <c r="N2203" s="3"/>
      <c r="Q2203" s="3"/>
      <c r="R2203" s="3"/>
      <c r="S2203" s="3"/>
      <c r="V2203" s="3"/>
      <c r="W2203" s="3"/>
      <c r="X2203" s="3"/>
      <c r="Y2203" s="3"/>
      <c r="Z2203" s="3"/>
      <c r="AA2203" s="3"/>
      <c r="AB2203" s="3"/>
    </row>
    <row r="2204" spans="1:28" x14ac:dyDescent="0.3">
      <c r="A2204" s="2"/>
      <c r="F2204" s="3"/>
      <c r="G2204" s="3"/>
      <c r="N2204" s="3"/>
      <c r="Q2204" s="3"/>
      <c r="R2204" s="3"/>
      <c r="S2204" s="3"/>
      <c r="V2204" s="3"/>
      <c r="W2204" s="3"/>
      <c r="X2204" s="3"/>
      <c r="Y2204" s="3"/>
      <c r="Z2204" s="3"/>
      <c r="AA2204" s="3"/>
      <c r="AB2204" s="3"/>
    </row>
    <row r="2205" spans="1:28" x14ac:dyDescent="0.3">
      <c r="A2205" s="2"/>
      <c r="F2205" s="3"/>
      <c r="G2205" s="3"/>
      <c r="N2205" s="3"/>
      <c r="Q2205" s="3"/>
      <c r="R2205" s="3"/>
      <c r="S2205" s="3"/>
      <c r="V2205" s="3"/>
      <c r="W2205" s="3"/>
      <c r="X2205" s="3"/>
      <c r="Y2205" s="3"/>
      <c r="Z2205" s="3"/>
      <c r="AA2205" s="3"/>
      <c r="AB2205" s="3"/>
    </row>
    <row r="2206" spans="1:28" x14ac:dyDescent="0.3">
      <c r="A2206" s="2"/>
      <c r="F2206" s="3"/>
      <c r="G2206" s="3"/>
      <c r="N2206" s="3"/>
      <c r="Q2206" s="3"/>
      <c r="R2206" s="3"/>
      <c r="S2206" s="3"/>
      <c r="V2206" s="3"/>
      <c r="W2206" s="3"/>
      <c r="X2206" s="3"/>
      <c r="Y2206" s="3"/>
      <c r="Z2206" s="3"/>
      <c r="AA2206" s="3"/>
      <c r="AB2206" s="3"/>
    </row>
    <row r="2207" spans="1:28" x14ac:dyDescent="0.3">
      <c r="A2207" s="2"/>
      <c r="F2207" s="3"/>
      <c r="G2207" s="3"/>
      <c r="N2207" s="3"/>
      <c r="Q2207" s="3"/>
      <c r="R2207" s="3"/>
      <c r="S2207" s="3"/>
      <c r="V2207" s="3"/>
      <c r="W2207" s="3"/>
      <c r="X2207" s="3"/>
      <c r="Y2207" s="3"/>
      <c r="Z2207" s="3"/>
      <c r="AA2207" s="3"/>
      <c r="AB2207" s="3"/>
    </row>
    <row r="2208" spans="1:28" x14ac:dyDescent="0.3">
      <c r="A2208" s="2"/>
      <c r="F2208" s="3"/>
      <c r="G2208" s="3"/>
      <c r="N2208" s="3"/>
      <c r="Q2208" s="3"/>
      <c r="R2208" s="3"/>
      <c r="S2208" s="3"/>
      <c r="V2208" s="3"/>
      <c r="W2208" s="3"/>
      <c r="X2208" s="3"/>
      <c r="Y2208" s="3"/>
      <c r="Z2208" s="3"/>
      <c r="AA2208" s="3"/>
      <c r="AB2208" s="3"/>
    </row>
    <row r="2209" spans="1:28" x14ac:dyDescent="0.3">
      <c r="A2209" s="2"/>
      <c r="F2209" s="3"/>
      <c r="G2209" s="3"/>
      <c r="N2209" s="3"/>
      <c r="Q2209" s="3"/>
      <c r="R2209" s="3"/>
      <c r="S2209" s="3"/>
      <c r="V2209" s="3"/>
      <c r="W2209" s="3"/>
      <c r="X2209" s="3"/>
      <c r="Y2209" s="3"/>
      <c r="Z2209" s="3"/>
      <c r="AA2209" s="3"/>
      <c r="AB2209" s="3"/>
    </row>
    <row r="2210" spans="1:28" x14ac:dyDescent="0.3">
      <c r="A2210" s="2"/>
      <c r="F2210" s="3"/>
      <c r="G2210" s="3"/>
      <c r="N2210" s="3"/>
      <c r="Q2210" s="3"/>
      <c r="R2210" s="3"/>
      <c r="S2210" s="3"/>
      <c r="V2210" s="3"/>
      <c r="W2210" s="3"/>
      <c r="X2210" s="3"/>
      <c r="Y2210" s="3"/>
      <c r="Z2210" s="3"/>
      <c r="AA2210" s="3"/>
      <c r="AB2210" s="3"/>
    </row>
    <row r="2211" spans="1:28" x14ac:dyDescent="0.3">
      <c r="A2211" s="2"/>
      <c r="F2211" s="3"/>
      <c r="G2211" s="3"/>
      <c r="N2211" s="3"/>
      <c r="Q2211" s="3"/>
      <c r="R2211" s="3"/>
      <c r="S2211" s="3"/>
      <c r="V2211" s="3"/>
      <c r="W2211" s="3"/>
      <c r="X2211" s="3"/>
      <c r="Y2211" s="3"/>
      <c r="Z2211" s="3"/>
      <c r="AA2211" s="3"/>
      <c r="AB2211" s="3"/>
    </row>
    <row r="2212" spans="1:28" x14ac:dyDescent="0.3">
      <c r="A2212" s="2"/>
      <c r="F2212" s="3"/>
      <c r="G2212" s="3"/>
      <c r="N2212" s="3"/>
      <c r="Q2212" s="3"/>
      <c r="R2212" s="3"/>
      <c r="S2212" s="3"/>
      <c r="V2212" s="3"/>
      <c r="W2212" s="3"/>
      <c r="X2212" s="3"/>
      <c r="Y2212" s="3"/>
      <c r="Z2212" s="3"/>
      <c r="AA2212" s="3"/>
      <c r="AB2212" s="3"/>
    </row>
    <row r="2213" spans="1:28" x14ac:dyDescent="0.3">
      <c r="A2213" s="2"/>
      <c r="F2213" s="3"/>
      <c r="G2213" s="3"/>
      <c r="N2213" s="3"/>
      <c r="Q2213" s="3"/>
      <c r="R2213" s="3"/>
      <c r="S2213" s="3"/>
      <c r="V2213" s="3"/>
      <c r="W2213" s="3"/>
      <c r="X2213" s="3"/>
      <c r="Y2213" s="3"/>
      <c r="Z2213" s="3"/>
      <c r="AA2213" s="3"/>
      <c r="AB2213" s="3"/>
    </row>
    <row r="2214" spans="1:28" x14ac:dyDescent="0.3">
      <c r="A2214" s="2"/>
      <c r="F2214" s="3"/>
      <c r="G2214" s="3"/>
      <c r="N2214" s="3"/>
      <c r="Q2214" s="3"/>
      <c r="R2214" s="3"/>
      <c r="S2214" s="3"/>
      <c r="V2214" s="3"/>
      <c r="W2214" s="3"/>
      <c r="X2214" s="3"/>
      <c r="Y2214" s="3"/>
      <c r="Z2214" s="3"/>
      <c r="AA2214" s="3"/>
      <c r="AB2214" s="3"/>
    </row>
    <row r="2215" spans="1:28" x14ac:dyDescent="0.3">
      <c r="A2215" s="2"/>
      <c r="F2215" s="3"/>
      <c r="G2215" s="3"/>
      <c r="N2215" s="3"/>
      <c r="Q2215" s="3"/>
      <c r="R2215" s="3"/>
      <c r="S2215" s="3"/>
      <c r="V2215" s="3"/>
      <c r="W2215" s="3"/>
      <c r="X2215" s="3"/>
      <c r="Y2215" s="3"/>
      <c r="Z2215" s="3"/>
      <c r="AA2215" s="3"/>
      <c r="AB2215" s="3"/>
    </row>
    <row r="2216" spans="1:28" x14ac:dyDescent="0.3">
      <c r="A2216" s="2"/>
      <c r="F2216" s="3"/>
      <c r="G2216" s="3"/>
      <c r="N2216" s="3"/>
      <c r="Q2216" s="3"/>
      <c r="R2216" s="3"/>
      <c r="S2216" s="3"/>
      <c r="V2216" s="3"/>
      <c r="W2216" s="3"/>
      <c r="X2216" s="3"/>
      <c r="Y2216" s="3"/>
      <c r="Z2216" s="3"/>
      <c r="AA2216" s="3"/>
      <c r="AB2216" s="3"/>
    </row>
    <row r="2217" spans="1:28" x14ac:dyDescent="0.3">
      <c r="A2217" s="2"/>
      <c r="F2217" s="3"/>
      <c r="G2217" s="3"/>
      <c r="N2217" s="3"/>
      <c r="Q2217" s="3"/>
      <c r="R2217" s="3"/>
      <c r="S2217" s="3"/>
      <c r="V2217" s="3"/>
      <c r="W2217" s="3"/>
      <c r="X2217" s="3"/>
      <c r="Y2217" s="3"/>
      <c r="Z2217" s="3"/>
      <c r="AA2217" s="3"/>
      <c r="AB2217" s="3"/>
    </row>
    <row r="2218" spans="1:28" x14ac:dyDescent="0.3">
      <c r="A2218" s="2"/>
      <c r="F2218" s="3"/>
      <c r="G2218" s="3"/>
      <c r="N2218" s="3"/>
      <c r="Q2218" s="3"/>
      <c r="R2218" s="3"/>
      <c r="S2218" s="3"/>
      <c r="V2218" s="3"/>
      <c r="W2218" s="3"/>
      <c r="X2218" s="3"/>
      <c r="Y2218" s="3"/>
      <c r="Z2218" s="3"/>
      <c r="AA2218" s="3"/>
      <c r="AB2218" s="3"/>
    </row>
    <row r="2219" spans="1:28" x14ac:dyDescent="0.3">
      <c r="A2219" s="2"/>
      <c r="F2219" s="3"/>
      <c r="G2219" s="3"/>
      <c r="N2219" s="3"/>
      <c r="Q2219" s="3"/>
      <c r="R2219" s="3"/>
      <c r="S2219" s="3"/>
      <c r="V2219" s="3"/>
      <c r="W2219" s="3"/>
      <c r="X2219" s="3"/>
      <c r="Y2219" s="3"/>
      <c r="Z2219" s="3"/>
      <c r="AA2219" s="3"/>
      <c r="AB2219" s="3"/>
    </row>
    <row r="2220" spans="1:28" x14ac:dyDescent="0.3">
      <c r="A2220" s="2"/>
      <c r="F2220" s="3"/>
      <c r="G2220" s="3"/>
      <c r="N2220" s="3"/>
      <c r="Q2220" s="3"/>
      <c r="R2220" s="3"/>
      <c r="S2220" s="3"/>
      <c r="V2220" s="3"/>
      <c r="W2220" s="3"/>
      <c r="X2220" s="3"/>
      <c r="Y2220" s="3"/>
      <c r="Z2220" s="3"/>
      <c r="AA2220" s="3"/>
      <c r="AB2220" s="3"/>
    </row>
    <row r="2221" spans="1:28" x14ac:dyDescent="0.3">
      <c r="A2221" s="2"/>
      <c r="F2221" s="3"/>
      <c r="G2221" s="3"/>
      <c r="N2221" s="3"/>
      <c r="Q2221" s="3"/>
      <c r="R2221" s="3"/>
      <c r="S2221" s="3"/>
      <c r="V2221" s="3"/>
      <c r="W2221" s="3"/>
      <c r="X2221" s="3"/>
      <c r="Y2221" s="3"/>
      <c r="Z2221" s="3"/>
      <c r="AA2221" s="3"/>
      <c r="AB2221" s="3"/>
    </row>
    <row r="2222" spans="1:28" x14ac:dyDescent="0.3">
      <c r="A2222" s="2"/>
      <c r="F2222" s="3"/>
      <c r="G2222" s="3"/>
      <c r="N2222" s="3"/>
      <c r="Q2222" s="3"/>
      <c r="R2222" s="3"/>
      <c r="S2222" s="3"/>
      <c r="V2222" s="3"/>
      <c r="W2222" s="3"/>
      <c r="X2222" s="3"/>
      <c r="Y2222" s="3"/>
      <c r="Z2222" s="3"/>
      <c r="AA2222" s="3"/>
      <c r="AB2222" s="3"/>
    </row>
    <row r="2223" spans="1:28" x14ac:dyDescent="0.3">
      <c r="A2223" s="2"/>
      <c r="F2223" s="3"/>
      <c r="G2223" s="3"/>
      <c r="N2223" s="3"/>
      <c r="Q2223" s="3"/>
      <c r="R2223" s="3"/>
      <c r="S2223" s="3"/>
      <c r="V2223" s="3"/>
      <c r="W2223" s="3"/>
      <c r="X2223" s="3"/>
      <c r="Y2223" s="3"/>
      <c r="Z2223" s="3"/>
      <c r="AA2223" s="3"/>
      <c r="AB2223" s="3"/>
    </row>
    <row r="2224" spans="1:28" x14ac:dyDescent="0.3">
      <c r="A2224" s="2"/>
      <c r="F2224" s="3"/>
      <c r="G2224" s="3"/>
      <c r="N2224" s="3"/>
      <c r="Q2224" s="3"/>
      <c r="R2224" s="3"/>
      <c r="S2224" s="3"/>
      <c r="V2224" s="3"/>
      <c r="W2224" s="3"/>
      <c r="X2224" s="3"/>
      <c r="Y2224" s="3"/>
      <c r="Z2224" s="3"/>
      <c r="AA2224" s="3"/>
      <c r="AB2224" s="3"/>
    </row>
    <row r="2225" spans="1:28" x14ac:dyDescent="0.3">
      <c r="A2225" s="2"/>
      <c r="F2225" s="3"/>
      <c r="G2225" s="3"/>
      <c r="N2225" s="3"/>
      <c r="Q2225" s="3"/>
      <c r="R2225" s="3"/>
      <c r="S2225" s="3"/>
      <c r="V2225" s="3"/>
      <c r="W2225" s="3"/>
      <c r="X2225" s="3"/>
      <c r="Y2225" s="3"/>
      <c r="Z2225" s="3"/>
      <c r="AA2225" s="3"/>
      <c r="AB2225" s="3"/>
    </row>
    <row r="2226" spans="1:28" x14ac:dyDescent="0.3">
      <c r="A2226" s="2"/>
      <c r="F2226" s="3"/>
      <c r="G2226" s="3"/>
      <c r="N2226" s="3"/>
      <c r="Q2226" s="3"/>
      <c r="R2226" s="3"/>
      <c r="S2226" s="3"/>
      <c r="V2226" s="3"/>
      <c r="W2226" s="3"/>
      <c r="X2226" s="3"/>
      <c r="Y2226" s="3"/>
      <c r="Z2226" s="3"/>
      <c r="AA2226" s="3"/>
      <c r="AB2226" s="3"/>
    </row>
    <row r="2227" spans="1:28" x14ac:dyDescent="0.3">
      <c r="A2227" s="2"/>
      <c r="F2227" s="3"/>
      <c r="G2227" s="3"/>
      <c r="N2227" s="3"/>
      <c r="Q2227" s="3"/>
      <c r="R2227" s="3"/>
      <c r="S2227" s="3"/>
      <c r="V2227" s="3"/>
      <c r="W2227" s="3"/>
      <c r="X2227" s="3"/>
      <c r="Y2227" s="3"/>
      <c r="Z2227" s="3"/>
      <c r="AA2227" s="3"/>
      <c r="AB2227" s="3"/>
    </row>
    <row r="2228" spans="1:28" x14ac:dyDescent="0.3">
      <c r="A2228" s="2"/>
      <c r="F2228" s="3"/>
      <c r="G2228" s="3"/>
      <c r="N2228" s="3"/>
      <c r="Q2228" s="3"/>
      <c r="R2228" s="3"/>
      <c r="S2228" s="3"/>
      <c r="V2228" s="3"/>
      <c r="W2228" s="3"/>
      <c r="X2228" s="3"/>
      <c r="Y2228" s="3"/>
      <c r="Z2228" s="3"/>
      <c r="AA2228" s="3"/>
      <c r="AB2228" s="3"/>
    </row>
    <row r="2229" spans="1:28" x14ac:dyDescent="0.3">
      <c r="A2229" s="2"/>
      <c r="F2229" s="3"/>
      <c r="G2229" s="3"/>
      <c r="N2229" s="3"/>
      <c r="Q2229" s="3"/>
      <c r="R2229" s="3"/>
      <c r="S2229" s="3"/>
      <c r="V2229" s="3"/>
      <c r="W2229" s="3"/>
      <c r="X2229" s="3"/>
      <c r="Y2229" s="3"/>
      <c r="Z2229" s="3"/>
      <c r="AA2229" s="3"/>
      <c r="AB2229" s="3"/>
    </row>
    <row r="2230" spans="1:28" x14ac:dyDescent="0.3">
      <c r="A2230" s="2"/>
      <c r="F2230" s="3"/>
      <c r="G2230" s="3"/>
      <c r="N2230" s="3"/>
      <c r="Q2230" s="3"/>
      <c r="R2230" s="3"/>
      <c r="S2230" s="3"/>
      <c r="V2230" s="3"/>
      <c r="W2230" s="3"/>
      <c r="X2230" s="3"/>
      <c r="Y2230" s="3"/>
      <c r="Z2230" s="3"/>
      <c r="AA2230" s="3"/>
      <c r="AB2230" s="3"/>
    </row>
    <row r="2231" spans="1:28" x14ac:dyDescent="0.3">
      <c r="A2231" s="2"/>
      <c r="F2231" s="3"/>
      <c r="G2231" s="3"/>
      <c r="N2231" s="3"/>
      <c r="Q2231" s="3"/>
      <c r="R2231" s="3"/>
      <c r="S2231" s="3"/>
      <c r="V2231" s="3"/>
      <c r="W2231" s="3"/>
      <c r="X2231" s="3"/>
      <c r="Y2231" s="3"/>
      <c r="Z2231" s="3"/>
      <c r="AA2231" s="3"/>
      <c r="AB2231" s="3"/>
    </row>
    <row r="2232" spans="1:28" x14ac:dyDescent="0.3">
      <c r="A2232" s="2"/>
      <c r="F2232" s="3"/>
      <c r="G2232" s="3"/>
      <c r="N2232" s="3"/>
      <c r="Q2232" s="3"/>
      <c r="R2232" s="3"/>
      <c r="S2232" s="3"/>
      <c r="V2232" s="3"/>
      <c r="W2232" s="3"/>
      <c r="X2232" s="3"/>
      <c r="Y2232" s="3"/>
      <c r="Z2232" s="3"/>
      <c r="AA2232" s="3"/>
      <c r="AB2232" s="3"/>
    </row>
    <row r="2233" spans="1:28" x14ac:dyDescent="0.3">
      <c r="A2233" s="2"/>
      <c r="F2233" s="3"/>
      <c r="G2233" s="3"/>
      <c r="N2233" s="3"/>
      <c r="Q2233" s="3"/>
      <c r="R2233" s="3"/>
      <c r="S2233" s="3"/>
      <c r="V2233" s="3"/>
      <c r="W2233" s="3"/>
      <c r="X2233" s="3"/>
      <c r="Y2233" s="3"/>
      <c r="Z2233" s="3"/>
      <c r="AA2233" s="3"/>
      <c r="AB2233" s="3"/>
    </row>
    <row r="2234" spans="1:28" x14ac:dyDescent="0.3">
      <c r="A2234" s="2"/>
      <c r="F2234" s="3"/>
      <c r="G2234" s="3"/>
      <c r="N2234" s="3"/>
      <c r="Q2234" s="3"/>
      <c r="R2234" s="3"/>
      <c r="S2234" s="3"/>
      <c r="V2234" s="3"/>
      <c r="W2234" s="3"/>
      <c r="X2234" s="3"/>
      <c r="Y2234" s="3"/>
      <c r="Z2234" s="3"/>
      <c r="AA2234" s="3"/>
      <c r="AB2234" s="3"/>
    </row>
    <row r="2235" spans="1:28" x14ac:dyDescent="0.3">
      <c r="A2235" s="2"/>
      <c r="F2235" s="3"/>
      <c r="G2235" s="3"/>
      <c r="N2235" s="3"/>
      <c r="Q2235" s="3"/>
      <c r="R2235" s="3"/>
      <c r="S2235" s="3"/>
      <c r="V2235" s="3"/>
      <c r="W2235" s="3"/>
      <c r="X2235" s="3"/>
      <c r="Y2235" s="3"/>
      <c r="Z2235" s="3"/>
      <c r="AA2235" s="3"/>
      <c r="AB2235" s="3"/>
    </row>
    <row r="2236" spans="1:28" x14ac:dyDescent="0.3">
      <c r="A2236" s="2"/>
      <c r="F2236" s="3"/>
      <c r="G2236" s="3"/>
      <c r="N2236" s="3"/>
      <c r="Q2236" s="3"/>
      <c r="R2236" s="3"/>
      <c r="S2236" s="3"/>
      <c r="V2236" s="3"/>
      <c r="W2236" s="3"/>
      <c r="X2236" s="3"/>
      <c r="Y2236" s="3"/>
      <c r="Z2236" s="3"/>
      <c r="AA2236" s="3"/>
      <c r="AB2236" s="3"/>
    </row>
    <row r="2237" spans="1:28" x14ac:dyDescent="0.3">
      <c r="A2237" s="2"/>
      <c r="F2237" s="3"/>
      <c r="G2237" s="3"/>
      <c r="N2237" s="3"/>
      <c r="Q2237" s="3"/>
      <c r="R2237" s="3"/>
      <c r="S2237" s="3"/>
      <c r="V2237" s="3"/>
      <c r="W2237" s="3"/>
      <c r="X2237" s="3"/>
      <c r="Y2237" s="3"/>
      <c r="Z2237" s="3"/>
      <c r="AA2237" s="3"/>
      <c r="AB2237" s="3"/>
    </row>
    <row r="2238" spans="1:28" x14ac:dyDescent="0.3">
      <c r="A2238" s="2"/>
      <c r="F2238" s="3"/>
      <c r="G2238" s="3"/>
      <c r="N2238" s="3"/>
      <c r="Q2238" s="3"/>
      <c r="R2238" s="3"/>
      <c r="S2238" s="3"/>
      <c r="V2238" s="3"/>
      <c r="W2238" s="3"/>
      <c r="X2238" s="3"/>
      <c r="Y2238" s="3"/>
      <c r="Z2238" s="3"/>
      <c r="AA2238" s="3"/>
      <c r="AB2238" s="3"/>
    </row>
    <row r="2239" spans="1:28" x14ac:dyDescent="0.3">
      <c r="A2239" s="2"/>
      <c r="F2239" s="3"/>
      <c r="G2239" s="3"/>
      <c r="N2239" s="3"/>
      <c r="Q2239" s="3"/>
      <c r="R2239" s="3"/>
      <c r="S2239" s="3"/>
      <c r="V2239" s="3"/>
      <c r="W2239" s="3"/>
      <c r="X2239" s="3"/>
      <c r="Y2239" s="3"/>
      <c r="Z2239" s="3"/>
      <c r="AA2239" s="3"/>
      <c r="AB2239" s="3"/>
    </row>
    <row r="2240" spans="1:28" x14ac:dyDescent="0.3">
      <c r="A2240" s="2"/>
      <c r="F2240" s="3"/>
      <c r="G2240" s="3"/>
      <c r="N2240" s="3"/>
      <c r="Q2240" s="3"/>
      <c r="R2240" s="3"/>
      <c r="S2240" s="3"/>
      <c r="V2240" s="3"/>
      <c r="W2240" s="3"/>
      <c r="X2240" s="3"/>
      <c r="Y2240" s="3"/>
      <c r="Z2240" s="3"/>
      <c r="AA2240" s="3"/>
      <c r="AB2240" s="3"/>
    </row>
    <row r="2241" spans="1:28" x14ac:dyDescent="0.3">
      <c r="A2241" s="2"/>
      <c r="F2241" s="3"/>
      <c r="G2241" s="3"/>
      <c r="N2241" s="3"/>
      <c r="Q2241" s="3"/>
      <c r="R2241" s="3"/>
      <c r="S2241" s="3"/>
      <c r="V2241" s="3"/>
      <c r="W2241" s="3"/>
      <c r="X2241" s="3"/>
      <c r="Y2241" s="3"/>
      <c r="Z2241" s="3"/>
      <c r="AA2241" s="3"/>
      <c r="AB2241" s="3"/>
    </row>
    <row r="2242" spans="1:28" x14ac:dyDescent="0.3">
      <c r="A2242" s="2"/>
      <c r="F2242" s="3"/>
      <c r="G2242" s="3"/>
      <c r="N2242" s="3"/>
      <c r="Q2242" s="3"/>
      <c r="R2242" s="3"/>
      <c r="S2242" s="3"/>
      <c r="V2242" s="3"/>
      <c r="W2242" s="3"/>
      <c r="X2242" s="3"/>
      <c r="Y2242" s="3"/>
      <c r="Z2242" s="3"/>
      <c r="AA2242" s="3"/>
      <c r="AB2242" s="3"/>
    </row>
    <row r="2243" spans="1:28" x14ac:dyDescent="0.3">
      <c r="A2243" s="2"/>
      <c r="F2243" s="3"/>
      <c r="G2243" s="3"/>
      <c r="N2243" s="3"/>
      <c r="Q2243" s="3"/>
      <c r="R2243" s="3"/>
      <c r="S2243" s="3"/>
      <c r="V2243" s="3"/>
      <c r="W2243" s="3"/>
      <c r="X2243" s="3"/>
      <c r="Y2243" s="3"/>
      <c r="Z2243" s="3"/>
      <c r="AA2243" s="3"/>
      <c r="AB2243" s="3"/>
    </row>
    <row r="2244" spans="1:28" x14ac:dyDescent="0.3">
      <c r="A2244" s="2"/>
      <c r="F2244" s="3"/>
      <c r="G2244" s="3"/>
      <c r="N2244" s="3"/>
      <c r="Q2244" s="3"/>
      <c r="R2244" s="3"/>
      <c r="S2244" s="3"/>
      <c r="V2244" s="3"/>
      <c r="W2244" s="3"/>
      <c r="X2244" s="3"/>
      <c r="Y2244" s="3"/>
      <c r="Z2244" s="3"/>
      <c r="AA2244" s="3"/>
      <c r="AB2244" s="3"/>
    </row>
    <row r="2245" spans="1:28" x14ac:dyDescent="0.3">
      <c r="A2245" s="2"/>
      <c r="F2245" s="3"/>
      <c r="G2245" s="3"/>
      <c r="N2245" s="3"/>
      <c r="Q2245" s="3"/>
      <c r="R2245" s="3"/>
      <c r="S2245" s="3"/>
      <c r="V2245" s="3"/>
      <c r="W2245" s="3"/>
      <c r="X2245" s="3"/>
      <c r="Y2245" s="3"/>
      <c r="Z2245" s="3"/>
      <c r="AA2245" s="3"/>
      <c r="AB2245" s="3"/>
    </row>
    <row r="2246" spans="1:28" x14ac:dyDescent="0.3">
      <c r="A2246" s="2"/>
      <c r="F2246" s="3"/>
      <c r="G2246" s="3"/>
      <c r="N2246" s="3"/>
      <c r="Q2246" s="3"/>
      <c r="R2246" s="3"/>
      <c r="S2246" s="3"/>
      <c r="V2246" s="3"/>
      <c r="W2246" s="3"/>
      <c r="X2246" s="3"/>
      <c r="Y2246" s="3"/>
      <c r="Z2246" s="3"/>
      <c r="AA2246" s="3"/>
      <c r="AB2246" s="3"/>
    </row>
    <row r="2247" spans="1:28" x14ac:dyDescent="0.3">
      <c r="A2247" s="2"/>
      <c r="F2247" s="3"/>
      <c r="G2247" s="3"/>
      <c r="N2247" s="3"/>
      <c r="Q2247" s="3"/>
      <c r="R2247" s="3"/>
      <c r="S2247" s="3"/>
      <c r="V2247" s="3"/>
      <c r="W2247" s="3"/>
      <c r="X2247" s="3"/>
      <c r="Y2247" s="3"/>
      <c r="Z2247" s="3"/>
      <c r="AA2247" s="3"/>
      <c r="AB2247" s="3"/>
    </row>
    <row r="2248" spans="1:28" x14ac:dyDescent="0.3">
      <c r="A2248" s="2"/>
      <c r="F2248" s="3"/>
      <c r="G2248" s="3"/>
      <c r="N2248" s="3"/>
      <c r="Q2248" s="3"/>
      <c r="R2248" s="3"/>
      <c r="S2248" s="3"/>
      <c r="V2248" s="3"/>
      <c r="W2248" s="3"/>
      <c r="X2248" s="3"/>
      <c r="Y2248" s="3"/>
      <c r="Z2248" s="3"/>
      <c r="AA2248" s="3"/>
      <c r="AB2248" s="3"/>
    </row>
    <row r="2249" spans="1:28" x14ac:dyDescent="0.3">
      <c r="A2249" s="2"/>
      <c r="F2249" s="3"/>
      <c r="G2249" s="3"/>
      <c r="N2249" s="3"/>
      <c r="Q2249" s="3"/>
      <c r="R2249" s="3"/>
      <c r="S2249" s="3"/>
      <c r="V2249" s="3"/>
      <c r="W2249" s="3"/>
      <c r="X2249" s="3"/>
      <c r="Y2249" s="3"/>
      <c r="Z2249" s="3"/>
      <c r="AA2249" s="3"/>
      <c r="AB2249" s="3"/>
    </row>
    <row r="2250" spans="1:28" x14ac:dyDescent="0.3">
      <c r="A2250" s="2"/>
      <c r="F2250" s="3"/>
      <c r="G2250" s="3"/>
      <c r="N2250" s="3"/>
      <c r="Q2250" s="3"/>
      <c r="R2250" s="3"/>
      <c r="S2250" s="3"/>
      <c r="V2250" s="3"/>
      <c r="W2250" s="3"/>
      <c r="X2250" s="3"/>
      <c r="Y2250" s="3"/>
      <c r="Z2250" s="3"/>
      <c r="AA2250" s="3"/>
      <c r="AB2250" s="3"/>
    </row>
    <row r="2251" spans="1:28" x14ac:dyDescent="0.3">
      <c r="A2251" s="2"/>
      <c r="F2251" s="3"/>
      <c r="G2251" s="3"/>
      <c r="N2251" s="3"/>
      <c r="Q2251" s="3"/>
      <c r="R2251" s="3"/>
      <c r="S2251" s="3"/>
      <c r="V2251" s="3"/>
      <c r="W2251" s="3"/>
      <c r="X2251" s="3"/>
      <c r="Y2251" s="3"/>
      <c r="Z2251" s="3"/>
      <c r="AA2251" s="3"/>
      <c r="AB2251" s="3"/>
    </row>
    <row r="2252" spans="1:28" x14ac:dyDescent="0.3">
      <c r="A2252" s="2"/>
      <c r="F2252" s="3"/>
      <c r="G2252" s="3"/>
      <c r="N2252" s="3"/>
      <c r="Q2252" s="3"/>
      <c r="R2252" s="3"/>
      <c r="S2252" s="3"/>
      <c r="V2252" s="3"/>
      <c r="W2252" s="3"/>
      <c r="X2252" s="3"/>
      <c r="Y2252" s="3"/>
      <c r="Z2252" s="3"/>
      <c r="AA2252" s="3"/>
      <c r="AB2252" s="3"/>
    </row>
    <row r="2253" spans="1:28" x14ac:dyDescent="0.3">
      <c r="A2253" s="2"/>
      <c r="F2253" s="3"/>
      <c r="G2253" s="3"/>
      <c r="N2253" s="3"/>
      <c r="Q2253" s="3"/>
      <c r="R2253" s="3"/>
      <c r="S2253" s="3"/>
      <c r="V2253" s="3"/>
      <c r="W2253" s="3"/>
      <c r="X2253" s="3"/>
      <c r="Y2253" s="3"/>
      <c r="Z2253" s="3"/>
      <c r="AA2253" s="3"/>
      <c r="AB2253" s="3"/>
    </row>
    <row r="2254" spans="1:28" x14ac:dyDescent="0.3">
      <c r="A2254" s="2"/>
      <c r="F2254" s="3"/>
      <c r="G2254" s="3"/>
      <c r="N2254" s="3"/>
      <c r="Q2254" s="3"/>
      <c r="R2254" s="3"/>
      <c r="S2254" s="3"/>
      <c r="V2254" s="3"/>
      <c r="W2254" s="3"/>
      <c r="X2254" s="3"/>
      <c r="Y2254" s="3"/>
      <c r="Z2254" s="3"/>
      <c r="AA2254" s="3"/>
      <c r="AB2254" s="3"/>
    </row>
    <row r="2255" spans="1:28" x14ac:dyDescent="0.3">
      <c r="A2255" s="2"/>
      <c r="F2255" s="3"/>
      <c r="G2255" s="3"/>
      <c r="N2255" s="3"/>
      <c r="Q2255" s="3"/>
      <c r="R2255" s="3"/>
      <c r="S2255" s="3"/>
      <c r="V2255" s="3"/>
      <c r="W2255" s="3"/>
      <c r="X2255" s="3"/>
      <c r="Y2255" s="3"/>
      <c r="Z2255" s="3"/>
      <c r="AA2255" s="3"/>
      <c r="AB2255" s="3"/>
    </row>
    <row r="2256" spans="1:28" x14ac:dyDescent="0.3">
      <c r="A2256" s="2"/>
      <c r="F2256" s="3"/>
      <c r="G2256" s="3"/>
      <c r="N2256" s="3"/>
      <c r="Q2256" s="3"/>
      <c r="R2256" s="3"/>
      <c r="S2256" s="3"/>
      <c r="V2256" s="3"/>
      <c r="W2256" s="3"/>
      <c r="X2256" s="3"/>
      <c r="Y2256" s="3"/>
      <c r="Z2256" s="3"/>
      <c r="AA2256" s="3"/>
      <c r="AB2256" s="3"/>
    </row>
    <row r="2257" spans="1:28" x14ac:dyDescent="0.3">
      <c r="A2257" s="2"/>
      <c r="F2257" s="3"/>
      <c r="G2257" s="3"/>
      <c r="N2257" s="3"/>
      <c r="Q2257" s="3"/>
      <c r="R2257" s="3"/>
      <c r="S2257" s="3"/>
      <c r="V2257" s="3"/>
      <c r="W2257" s="3"/>
      <c r="X2257" s="3"/>
      <c r="Y2257" s="3"/>
      <c r="Z2257" s="3"/>
      <c r="AA2257" s="3"/>
      <c r="AB2257" s="3"/>
    </row>
    <row r="2258" spans="1:28" x14ac:dyDescent="0.3">
      <c r="A2258" s="2"/>
      <c r="F2258" s="3"/>
      <c r="G2258" s="3"/>
      <c r="N2258" s="3"/>
      <c r="Q2258" s="3"/>
      <c r="R2258" s="3"/>
      <c r="S2258" s="3"/>
      <c r="V2258" s="3"/>
      <c r="W2258" s="3"/>
      <c r="X2258" s="3"/>
      <c r="Y2258" s="3"/>
      <c r="Z2258" s="3"/>
      <c r="AA2258" s="3"/>
      <c r="AB2258" s="3"/>
    </row>
    <row r="2259" spans="1:28" x14ac:dyDescent="0.3">
      <c r="A2259" s="2"/>
      <c r="F2259" s="3"/>
      <c r="G2259" s="3"/>
      <c r="N2259" s="3"/>
      <c r="Q2259" s="3"/>
      <c r="R2259" s="3"/>
      <c r="S2259" s="3"/>
      <c r="V2259" s="3"/>
      <c r="W2259" s="3"/>
      <c r="X2259" s="3"/>
      <c r="Y2259" s="3"/>
      <c r="Z2259" s="3"/>
      <c r="AA2259" s="3"/>
      <c r="AB2259" s="3"/>
    </row>
    <row r="2260" spans="1:28" x14ac:dyDescent="0.3">
      <c r="A2260" s="2"/>
      <c r="F2260" s="3"/>
      <c r="G2260" s="3"/>
      <c r="N2260" s="3"/>
      <c r="Q2260" s="3"/>
      <c r="R2260" s="3"/>
      <c r="S2260" s="3"/>
      <c r="V2260" s="3"/>
      <c r="W2260" s="3"/>
      <c r="X2260" s="3"/>
      <c r="Y2260" s="3"/>
      <c r="Z2260" s="3"/>
      <c r="AA2260" s="3"/>
      <c r="AB2260" s="3"/>
    </row>
    <row r="2261" spans="1:28" x14ac:dyDescent="0.3">
      <c r="A2261" s="2"/>
      <c r="F2261" s="3"/>
      <c r="G2261" s="3"/>
      <c r="N2261" s="3"/>
      <c r="Q2261" s="3"/>
      <c r="R2261" s="3"/>
      <c r="S2261" s="3"/>
      <c r="V2261" s="3"/>
      <c r="W2261" s="3"/>
      <c r="X2261" s="3"/>
      <c r="Y2261" s="3"/>
      <c r="Z2261" s="3"/>
      <c r="AA2261" s="3"/>
      <c r="AB2261" s="3"/>
    </row>
    <row r="2262" spans="1:28" x14ac:dyDescent="0.3">
      <c r="A2262" s="2"/>
      <c r="F2262" s="3"/>
      <c r="G2262" s="3"/>
      <c r="N2262" s="3"/>
      <c r="Q2262" s="3"/>
      <c r="R2262" s="3"/>
      <c r="S2262" s="3"/>
      <c r="V2262" s="3"/>
      <c r="W2262" s="3"/>
      <c r="X2262" s="3"/>
      <c r="Y2262" s="3"/>
      <c r="Z2262" s="3"/>
      <c r="AA2262" s="3"/>
      <c r="AB2262" s="3"/>
    </row>
    <row r="2263" spans="1:28" x14ac:dyDescent="0.3">
      <c r="A2263" s="2"/>
      <c r="F2263" s="3"/>
      <c r="G2263" s="3"/>
      <c r="N2263" s="3"/>
      <c r="Q2263" s="3"/>
      <c r="R2263" s="3"/>
      <c r="S2263" s="3"/>
      <c r="V2263" s="3"/>
      <c r="W2263" s="3"/>
      <c r="X2263" s="3"/>
      <c r="Y2263" s="3"/>
      <c r="Z2263" s="3"/>
      <c r="AA2263" s="3"/>
      <c r="AB2263" s="3"/>
    </row>
    <row r="2264" spans="1:28" x14ac:dyDescent="0.3">
      <c r="A2264" s="2"/>
      <c r="F2264" s="3"/>
      <c r="G2264" s="3"/>
      <c r="N2264" s="3"/>
      <c r="Q2264" s="3"/>
      <c r="R2264" s="3"/>
      <c r="S2264" s="3"/>
      <c r="V2264" s="3"/>
      <c r="W2264" s="3"/>
      <c r="X2264" s="3"/>
      <c r="Y2264" s="3"/>
      <c r="Z2264" s="3"/>
      <c r="AA2264" s="3"/>
      <c r="AB2264" s="3"/>
    </row>
    <row r="2265" spans="1:28" x14ac:dyDescent="0.3">
      <c r="A2265" s="2"/>
      <c r="F2265" s="3"/>
      <c r="G2265" s="3"/>
      <c r="N2265" s="3"/>
      <c r="Q2265" s="3"/>
      <c r="R2265" s="3"/>
      <c r="S2265" s="3"/>
      <c r="V2265" s="3"/>
      <c r="W2265" s="3"/>
      <c r="X2265" s="3"/>
      <c r="Y2265" s="3"/>
      <c r="Z2265" s="3"/>
      <c r="AA2265" s="3"/>
      <c r="AB2265" s="3"/>
    </row>
    <row r="2266" spans="1:28" x14ac:dyDescent="0.3">
      <c r="A2266" s="2"/>
      <c r="F2266" s="3"/>
      <c r="G2266" s="3"/>
      <c r="N2266" s="3"/>
      <c r="Q2266" s="3"/>
      <c r="R2266" s="3"/>
      <c r="S2266" s="3"/>
      <c r="V2266" s="3"/>
      <c r="W2266" s="3"/>
      <c r="X2266" s="3"/>
      <c r="Y2266" s="3"/>
      <c r="Z2266" s="3"/>
      <c r="AA2266" s="3"/>
      <c r="AB2266" s="3"/>
    </row>
    <row r="2267" spans="1:28" x14ac:dyDescent="0.3">
      <c r="A2267" s="2"/>
      <c r="F2267" s="3"/>
      <c r="G2267" s="3"/>
      <c r="N2267" s="3"/>
      <c r="Q2267" s="3"/>
      <c r="R2267" s="3"/>
      <c r="S2267" s="3"/>
      <c r="V2267" s="3"/>
      <c r="W2267" s="3"/>
      <c r="X2267" s="3"/>
      <c r="Y2267" s="3"/>
      <c r="Z2267" s="3"/>
      <c r="AA2267" s="3"/>
      <c r="AB2267" s="3"/>
    </row>
    <row r="2268" spans="1:28" x14ac:dyDescent="0.3">
      <c r="A2268" s="2"/>
      <c r="F2268" s="3"/>
      <c r="G2268" s="3"/>
      <c r="N2268" s="3"/>
      <c r="Q2268" s="3"/>
      <c r="R2268" s="3"/>
      <c r="S2268" s="3"/>
      <c r="V2268" s="3"/>
      <c r="W2268" s="3"/>
      <c r="X2268" s="3"/>
      <c r="Y2268" s="3"/>
      <c r="Z2268" s="3"/>
      <c r="AA2268" s="3"/>
      <c r="AB2268" s="3"/>
    </row>
    <row r="2269" spans="1:28" x14ac:dyDescent="0.3">
      <c r="A2269" s="2"/>
      <c r="F2269" s="3"/>
      <c r="G2269" s="3"/>
      <c r="N2269" s="3"/>
      <c r="Q2269" s="3"/>
      <c r="R2269" s="3"/>
      <c r="S2269" s="3"/>
      <c r="V2269" s="3"/>
      <c r="W2269" s="3"/>
      <c r="X2269" s="3"/>
      <c r="Y2269" s="3"/>
      <c r="Z2269" s="3"/>
      <c r="AA2269" s="3"/>
      <c r="AB2269" s="3"/>
    </row>
    <row r="2270" spans="1:28" x14ac:dyDescent="0.3">
      <c r="A2270" s="2"/>
      <c r="F2270" s="3"/>
      <c r="G2270" s="3"/>
      <c r="N2270" s="3"/>
      <c r="Q2270" s="3"/>
      <c r="R2270" s="3"/>
      <c r="S2270" s="3"/>
      <c r="V2270" s="3"/>
      <c r="W2270" s="3"/>
      <c r="X2270" s="3"/>
      <c r="Y2270" s="3"/>
      <c r="Z2270" s="3"/>
      <c r="AA2270" s="3"/>
      <c r="AB2270" s="3"/>
    </row>
    <row r="2271" spans="1:28" x14ac:dyDescent="0.3">
      <c r="A2271" s="2"/>
      <c r="F2271" s="3"/>
      <c r="G2271" s="3"/>
      <c r="N2271" s="3"/>
      <c r="Q2271" s="3"/>
      <c r="R2271" s="3"/>
      <c r="S2271" s="3"/>
      <c r="V2271" s="3"/>
      <c r="W2271" s="3"/>
      <c r="X2271" s="3"/>
      <c r="Y2271" s="3"/>
      <c r="Z2271" s="3"/>
      <c r="AA2271" s="3"/>
      <c r="AB2271" s="3"/>
    </row>
    <row r="2272" spans="1:28" x14ac:dyDescent="0.3">
      <c r="A2272" s="2"/>
      <c r="F2272" s="3"/>
      <c r="G2272" s="3"/>
      <c r="N2272" s="3"/>
      <c r="Q2272" s="3"/>
      <c r="R2272" s="3"/>
      <c r="S2272" s="3"/>
      <c r="V2272" s="3"/>
      <c r="W2272" s="3"/>
      <c r="X2272" s="3"/>
      <c r="Y2272" s="3"/>
      <c r="Z2272" s="3"/>
      <c r="AA2272" s="3"/>
      <c r="AB2272" s="3"/>
    </row>
    <row r="2273" spans="1:28" x14ac:dyDescent="0.3">
      <c r="A2273" s="2"/>
      <c r="F2273" s="3"/>
      <c r="G2273" s="3"/>
      <c r="N2273" s="3"/>
      <c r="Q2273" s="3"/>
      <c r="R2273" s="3"/>
      <c r="S2273" s="3"/>
      <c r="V2273" s="3"/>
      <c r="W2273" s="3"/>
      <c r="X2273" s="3"/>
      <c r="Y2273" s="3"/>
      <c r="Z2273" s="3"/>
      <c r="AA2273" s="3"/>
      <c r="AB2273" s="3"/>
    </row>
    <row r="2274" spans="1:28" x14ac:dyDescent="0.3">
      <c r="A2274" s="2"/>
      <c r="F2274" s="3"/>
      <c r="G2274" s="3"/>
      <c r="N2274" s="3"/>
      <c r="Q2274" s="3"/>
      <c r="R2274" s="3"/>
      <c r="S2274" s="3"/>
      <c r="V2274" s="3"/>
      <c r="W2274" s="3"/>
      <c r="X2274" s="3"/>
      <c r="Y2274" s="3"/>
      <c r="Z2274" s="3"/>
      <c r="AA2274" s="3"/>
      <c r="AB2274" s="3"/>
    </row>
    <row r="2275" spans="1:28" x14ac:dyDescent="0.3">
      <c r="A2275" s="2"/>
      <c r="F2275" s="3"/>
      <c r="G2275" s="3"/>
      <c r="N2275" s="3"/>
      <c r="Q2275" s="3"/>
      <c r="R2275" s="3"/>
      <c r="S2275" s="3"/>
      <c r="V2275" s="3"/>
      <c r="W2275" s="3"/>
      <c r="X2275" s="3"/>
      <c r="Y2275" s="3"/>
      <c r="Z2275" s="3"/>
      <c r="AA2275" s="3"/>
      <c r="AB2275" s="3"/>
    </row>
    <row r="2276" spans="1:28" x14ac:dyDescent="0.3">
      <c r="A2276" s="2"/>
      <c r="F2276" s="3"/>
      <c r="G2276" s="3"/>
      <c r="N2276" s="3"/>
      <c r="Q2276" s="3"/>
      <c r="R2276" s="3"/>
      <c r="S2276" s="3"/>
      <c r="V2276" s="3"/>
      <c r="W2276" s="3"/>
      <c r="X2276" s="3"/>
      <c r="Y2276" s="3"/>
      <c r="Z2276" s="3"/>
      <c r="AA2276" s="3"/>
      <c r="AB2276" s="3"/>
    </row>
    <row r="2277" spans="1:28" x14ac:dyDescent="0.3">
      <c r="A2277" s="2"/>
      <c r="F2277" s="3"/>
      <c r="G2277" s="3"/>
      <c r="N2277" s="3"/>
      <c r="Q2277" s="3"/>
      <c r="R2277" s="3"/>
      <c r="S2277" s="3"/>
      <c r="V2277" s="3"/>
      <c r="W2277" s="3"/>
      <c r="X2277" s="3"/>
      <c r="Y2277" s="3"/>
      <c r="Z2277" s="3"/>
      <c r="AA2277" s="3"/>
      <c r="AB2277" s="3"/>
    </row>
    <row r="2278" spans="1:28" x14ac:dyDescent="0.3">
      <c r="A2278" s="2"/>
      <c r="F2278" s="3"/>
      <c r="G2278" s="3"/>
      <c r="N2278" s="3"/>
      <c r="Q2278" s="3"/>
      <c r="R2278" s="3"/>
      <c r="S2278" s="3"/>
      <c r="V2278" s="3"/>
      <c r="W2278" s="3"/>
      <c r="X2278" s="3"/>
      <c r="Y2278" s="3"/>
      <c r="Z2278" s="3"/>
      <c r="AA2278" s="3"/>
      <c r="AB2278" s="3"/>
    </row>
    <row r="2279" spans="1:28" x14ac:dyDescent="0.3">
      <c r="A2279" s="2"/>
      <c r="F2279" s="3"/>
      <c r="G2279" s="3"/>
      <c r="N2279" s="3"/>
      <c r="Q2279" s="3"/>
      <c r="R2279" s="3"/>
      <c r="S2279" s="3"/>
      <c r="V2279" s="3"/>
      <c r="W2279" s="3"/>
      <c r="X2279" s="3"/>
      <c r="Y2279" s="3"/>
      <c r="Z2279" s="3"/>
      <c r="AA2279" s="3"/>
      <c r="AB2279" s="3"/>
    </row>
    <row r="2280" spans="1:28" x14ac:dyDescent="0.3">
      <c r="A2280" s="2"/>
      <c r="F2280" s="3"/>
      <c r="G2280" s="3"/>
      <c r="N2280" s="3"/>
      <c r="Q2280" s="3"/>
      <c r="R2280" s="3"/>
      <c r="S2280" s="3"/>
      <c r="V2280" s="3"/>
      <c r="W2280" s="3"/>
      <c r="X2280" s="3"/>
      <c r="Y2280" s="3"/>
      <c r="Z2280" s="3"/>
      <c r="AA2280" s="3"/>
      <c r="AB2280" s="3"/>
    </row>
    <row r="2281" spans="1:28" x14ac:dyDescent="0.3">
      <c r="A2281" s="2"/>
      <c r="F2281" s="3"/>
      <c r="G2281" s="3"/>
      <c r="N2281" s="3"/>
      <c r="Q2281" s="3"/>
      <c r="R2281" s="3"/>
      <c r="S2281" s="3"/>
      <c r="V2281" s="3"/>
      <c r="W2281" s="3"/>
      <c r="X2281" s="3"/>
      <c r="Y2281" s="3"/>
      <c r="Z2281" s="3"/>
      <c r="AA2281" s="3"/>
      <c r="AB2281" s="3"/>
    </row>
    <row r="2282" spans="1:28" x14ac:dyDescent="0.3">
      <c r="A2282" s="2"/>
      <c r="F2282" s="3"/>
      <c r="G2282" s="3"/>
      <c r="N2282" s="3"/>
      <c r="Q2282" s="3"/>
      <c r="R2282" s="3"/>
      <c r="S2282" s="3"/>
      <c r="V2282" s="3"/>
      <c r="W2282" s="3"/>
      <c r="X2282" s="3"/>
      <c r="Y2282" s="3"/>
      <c r="Z2282" s="3"/>
      <c r="AA2282" s="3"/>
      <c r="AB2282" s="3"/>
    </row>
    <row r="2283" spans="1:28" x14ac:dyDescent="0.3">
      <c r="A2283" s="2"/>
      <c r="F2283" s="3"/>
      <c r="G2283" s="3"/>
      <c r="N2283" s="3"/>
      <c r="Q2283" s="3"/>
      <c r="R2283" s="3"/>
      <c r="S2283" s="3"/>
      <c r="V2283" s="3"/>
      <c r="W2283" s="3"/>
      <c r="X2283" s="3"/>
      <c r="Y2283" s="3"/>
      <c r="Z2283" s="3"/>
      <c r="AA2283" s="3"/>
      <c r="AB2283" s="3"/>
    </row>
    <row r="2284" spans="1:28" x14ac:dyDescent="0.3">
      <c r="A2284" s="2"/>
      <c r="F2284" s="3"/>
      <c r="G2284" s="3"/>
      <c r="N2284" s="3"/>
      <c r="Q2284" s="3"/>
      <c r="R2284" s="3"/>
      <c r="S2284" s="3"/>
      <c r="V2284" s="3"/>
      <c r="W2284" s="3"/>
      <c r="X2284" s="3"/>
      <c r="Y2284" s="3"/>
      <c r="Z2284" s="3"/>
      <c r="AA2284" s="3"/>
      <c r="AB2284" s="3"/>
    </row>
    <row r="2285" spans="1:28" x14ac:dyDescent="0.3">
      <c r="A2285" s="2"/>
      <c r="F2285" s="3"/>
      <c r="G2285" s="3"/>
      <c r="N2285" s="3"/>
      <c r="Q2285" s="3"/>
      <c r="R2285" s="3"/>
      <c r="S2285" s="3"/>
      <c r="V2285" s="3"/>
      <c r="W2285" s="3"/>
      <c r="X2285" s="3"/>
      <c r="Y2285" s="3"/>
      <c r="Z2285" s="3"/>
      <c r="AA2285" s="3"/>
      <c r="AB2285" s="3"/>
    </row>
    <row r="2286" spans="1:28" x14ac:dyDescent="0.3">
      <c r="A2286" s="2"/>
      <c r="F2286" s="3"/>
      <c r="G2286" s="3"/>
      <c r="N2286" s="3"/>
      <c r="Q2286" s="3"/>
      <c r="R2286" s="3"/>
      <c r="S2286" s="3"/>
      <c r="V2286" s="3"/>
      <c r="W2286" s="3"/>
      <c r="X2286" s="3"/>
      <c r="Y2286" s="3"/>
      <c r="Z2286" s="3"/>
      <c r="AA2286" s="3"/>
      <c r="AB2286" s="3"/>
    </row>
    <row r="2287" spans="1:28" x14ac:dyDescent="0.3">
      <c r="A2287" s="2"/>
      <c r="F2287" s="3"/>
      <c r="G2287" s="3"/>
      <c r="N2287" s="3"/>
      <c r="Q2287" s="3"/>
      <c r="R2287" s="3"/>
      <c r="S2287" s="3"/>
      <c r="V2287" s="3"/>
      <c r="W2287" s="3"/>
      <c r="X2287" s="3"/>
      <c r="Y2287" s="3"/>
      <c r="Z2287" s="3"/>
      <c r="AA2287" s="3"/>
      <c r="AB2287" s="3"/>
    </row>
    <row r="2288" spans="1:28" x14ac:dyDescent="0.3">
      <c r="A2288" s="2"/>
      <c r="F2288" s="3"/>
      <c r="G2288" s="3"/>
      <c r="N2288" s="3"/>
      <c r="Q2288" s="3"/>
      <c r="R2288" s="3"/>
      <c r="S2288" s="3"/>
      <c r="V2288" s="3"/>
      <c r="W2288" s="3"/>
      <c r="X2288" s="3"/>
      <c r="Y2288" s="3"/>
      <c r="Z2288" s="3"/>
      <c r="AA2288" s="3"/>
      <c r="AB2288" s="3"/>
    </row>
    <row r="2289" spans="1:28" x14ac:dyDescent="0.3">
      <c r="A2289" s="2"/>
      <c r="F2289" s="3"/>
      <c r="G2289" s="3"/>
      <c r="N2289" s="3"/>
      <c r="Q2289" s="3"/>
      <c r="R2289" s="3"/>
      <c r="S2289" s="3"/>
      <c r="V2289" s="3"/>
      <c r="W2289" s="3"/>
      <c r="X2289" s="3"/>
      <c r="Y2289" s="3"/>
      <c r="Z2289" s="3"/>
      <c r="AA2289" s="3"/>
      <c r="AB2289" s="3"/>
    </row>
    <row r="2290" spans="1:28" x14ac:dyDescent="0.3">
      <c r="A2290" s="2"/>
      <c r="F2290" s="3"/>
      <c r="G2290" s="3"/>
      <c r="N2290" s="3"/>
      <c r="Q2290" s="3"/>
      <c r="R2290" s="3"/>
      <c r="S2290" s="3"/>
      <c r="V2290" s="3"/>
      <c r="W2290" s="3"/>
      <c r="X2290" s="3"/>
      <c r="Y2290" s="3"/>
      <c r="Z2290" s="3"/>
      <c r="AA2290" s="3"/>
      <c r="AB2290" s="3"/>
    </row>
    <row r="2291" spans="1:28" x14ac:dyDescent="0.3">
      <c r="A2291" s="2"/>
      <c r="F2291" s="3"/>
      <c r="G2291" s="3"/>
      <c r="N2291" s="3"/>
      <c r="Q2291" s="3"/>
      <c r="R2291" s="3"/>
      <c r="S2291" s="3"/>
      <c r="V2291" s="3"/>
      <c r="W2291" s="3"/>
      <c r="X2291" s="3"/>
      <c r="Y2291" s="3"/>
      <c r="Z2291" s="3"/>
      <c r="AA2291" s="3"/>
      <c r="AB2291" s="3"/>
    </row>
    <row r="2292" spans="1:28" x14ac:dyDescent="0.3">
      <c r="A2292" s="2"/>
      <c r="F2292" s="3"/>
      <c r="G2292" s="3"/>
      <c r="N2292" s="3"/>
      <c r="Q2292" s="3"/>
      <c r="R2292" s="3"/>
      <c r="S2292" s="3"/>
      <c r="V2292" s="3"/>
      <c r="W2292" s="3"/>
      <c r="X2292" s="3"/>
      <c r="Y2292" s="3"/>
      <c r="Z2292" s="3"/>
      <c r="AA2292" s="3"/>
      <c r="AB2292" s="3"/>
    </row>
    <row r="2293" spans="1:28" x14ac:dyDescent="0.3">
      <c r="A2293" s="2"/>
      <c r="F2293" s="3"/>
      <c r="G2293" s="3"/>
      <c r="N2293" s="3"/>
      <c r="Q2293" s="3"/>
      <c r="R2293" s="3"/>
      <c r="S2293" s="3"/>
      <c r="V2293" s="3"/>
      <c r="W2293" s="3"/>
      <c r="X2293" s="3"/>
      <c r="Y2293" s="3"/>
      <c r="Z2293" s="3"/>
      <c r="AA2293" s="3"/>
      <c r="AB2293" s="3"/>
    </row>
    <row r="2294" spans="1:28" x14ac:dyDescent="0.3">
      <c r="A2294" s="2"/>
      <c r="F2294" s="3"/>
      <c r="G2294" s="3"/>
      <c r="N2294" s="3"/>
      <c r="Q2294" s="3"/>
      <c r="R2294" s="3"/>
      <c r="S2294" s="3"/>
      <c r="V2294" s="3"/>
      <c r="W2294" s="3"/>
      <c r="X2294" s="3"/>
      <c r="Y2294" s="3"/>
      <c r="Z2294" s="3"/>
      <c r="AA2294" s="3"/>
      <c r="AB2294" s="3"/>
    </row>
    <row r="2295" spans="1:28" x14ac:dyDescent="0.3">
      <c r="A2295" s="2"/>
      <c r="F2295" s="3"/>
      <c r="G2295" s="3"/>
      <c r="N2295" s="3"/>
      <c r="Q2295" s="3"/>
      <c r="R2295" s="3"/>
      <c r="S2295" s="3"/>
      <c r="V2295" s="3"/>
      <c r="W2295" s="3"/>
      <c r="X2295" s="3"/>
      <c r="Y2295" s="3"/>
      <c r="Z2295" s="3"/>
      <c r="AA2295" s="3"/>
      <c r="AB2295" s="3"/>
    </row>
    <row r="2296" spans="1:28" x14ac:dyDescent="0.3">
      <c r="A2296" s="2"/>
      <c r="F2296" s="3"/>
      <c r="G2296" s="3"/>
      <c r="N2296" s="3"/>
      <c r="Q2296" s="3"/>
      <c r="R2296" s="3"/>
      <c r="S2296" s="3"/>
      <c r="V2296" s="3"/>
      <c r="W2296" s="3"/>
      <c r="X2296" s="3"/>
      <c r="Y2296" s="3"/>
      <c r="Z2296" s="3"/>
      <c r="AA2296" s="3"/>
      <c r="AB2296" s="3"/>
    </row>
    <row r="2297" spans="1:28" x14ac:dyDescent="0.3">
      <c r="A2297" s="2"/>
      <c r="F2297" s="3"/>
      <c r="G2297" s="3"/>
      <c r="N2297" s="3"/>
      <c r="Q2297" s="3"/>
      <c r="R2297" s="3"/>
      <c r="S2297" s="3"/>
      <c r="V2297" s="3"/>
      <c r="W2297" s="3"/>
      <c r="X2297" s="3"/>
      <c r="Y2297" s="3"/>
      <c r="Z2297" s="3"/>
      <c r="AA2297" s="3"/>
      <c r="AB2297" s="3"/>
    </row>
    <row r="2298" spans="1:28" x14ac:dyDescent="0.3">
      <c r="A2298" s="2"/>
      <c r="F2298" s="3"/>
      <c r="G2298" s="3"/>
      <c r="N2298" s="3"/>
      <c r="Q2298" s="3"/>
      <c r="R2298" s="3"/>
      <c r="S2298" s="3"/>
      <c r="V2298" s="3"/>
      <c r="W2298" s="3"/>
      <c r="X2298" s="3"/>
      <c r="Y2298" s="3"/>
      <c r="Z2298" s="3"/>
      <c r="AA2298" s="3"/>
      <c r="AB2298" s="3"/>
    </row>
    <row r="2299" spans="1:28" x14ac:dyDescent="0.3">
      <c r="A2299" s="2"/>
      <c r="F2299" s="3"/>
      <c r="G2299" s="3"/>
      <c r="N2299" s="3"/>
      <c r="Q2299" s="3"/>
      <c r="R2299" s="3"/>
      <c r="S2299" s="3"/>
      <c r="V2299" s="3"/>
      <c r="W2299" s="3"/>
      <c r="X2299" s="3"/>
      <c r="Y2299" s="3"/>
      <c r="Z2299" s="3"/>
      <c r="AA2299" s="3"/>
      <c r="AB2299" s="3"/>
    </row>
    <row r="2300" spans="1:28" x14ac:dyDescent="0.3">
      <c r="A2300" s="2"/>
      <c r="F2300" s="3"/>
      <c r="G2300" s="3"/>
      <c r="N2300" s="3"/>
      <c r="Q2300" s="3"/>
      <c r="R2300" s="3"/>
      <c r="S2300" s="3"/>
      <c r="V2300" s="3"/>
      <c r="W2300" s="3"/>
      <c r="X2300" s="3"/>
      <c r="Y2300" s="3"/>
      <c r="Z2300" s="3"/>
      <c r="AA2300" s="3"/>
      <c r="AB2300" s="3"/>
    </row>
    <row r="2301" spans="1:28" x14ac:dyDescent="0.3">
      <c r="A2301" s="2"/>
      <c r="F2301" s="3"/>
      <c r="G2301" s="3"/>
      <c r="N2301" s="3"/>
      <c r="Q2301" s="3"/>
      <c r="R2301" s="3"/>
      <c r="S2301" s="3"/>
      <c r="V2301" s="3"/>
      <c r="W2301" s="3"/>
      <c r="X2301" s="3"/>
      <c r="Y2301" s="3"/>
      <c r="Z2301" s="3"/>
      <c r="AA2301" s="3"/>
      <c r="AB2301" s="3"/>
    </row>
    <row r="2302" spans="1:28" x14ac:dyDescent="0.3">
      <c r="A2302" s="2"/>
      <c r="F2302" s="3"/>
      <c r="G2302" s="3"/>
      <c r="N2302" s="3"/>
      <c r="Q2302" s="3"/>
      <c r="R2302" s="3"/>
      <c r="S2302" s="3"/>
      <c r="V2302" s="3"/>
      <c r="W2302" s="3"/>
      <c r="X2302" s="3"/>
      <c r="Y2302" s="3"/>
      <c r="Z2302" s="3"/>
      <c r="AA2302" s="3"/>
      <c r="AB2302" s="3"/>
    </row>
    <row r="2303" spans="1:28" x14ac:dyDescent="0.3">
      <c r="A2303" s="2"/>
      <c r="F2303" s="3"/>
      <c r="G2303" s="3"/>
      <c r="N2303" s="3"/>
      <c r="Q2303" s="3"/>
      <c r="R2303" s="3"/>
      <c r="S2303" s="3"/>
      <c r="V2303" s="3"/>
      <c r="W2303" s="3"/>
      <c r="X2303" s="3"/>
      <c r="Y2303" s="3"/>
      <c r="Z2303" s="3"/>
      <c r="AA2303" s="3"/>
      <c r="AB2303" s="3"/>
    </row>
    <row r="2304" spans="1:28" x14ac:dyDescent="0.3">
      <c r="A2304" s="2"/>
      <c r="F2304" s="3"/>
      <c r="G2304" s="3"/>
      <c r="N2304" s="3"/>
      <c r="Q2304" s="3"/>
      <c r="R2304" s="3"/>
      <c r="S2304" s="3"/>
      <c r="V2304" s="3"/>
      <c r="W2304" s="3"/>
      <c r="X2304" s="3"/>
      <c r="Y2304" s="3"/>
      <c r="Z2304" s="3"/>
      <c r="AA2304" s="3"/>
      <c r="AB2304" s="3"/>
    </row>
    <row r="2305" spans="1:28" x14ac:dyDescent="0.3">
      <c r="A2305" s="2"/>
      <c r="F2305" s="3"/>
      <c r="G2305" s="3"/>
      <c r="N2305" s="3"/>
      <c r="Q2305" s="3"/>
      <c r="R2305" s="3"/>
      <c r="S2305" s="3"/>
      <c r="V2305" s="3"/>
      <c r="W2305" s="3"/>
      <c r="X2305" s="3"/>
      <c r="Y2305" s="3"/>
      <c r="Z2305" s="3"/>
      <c r="AA2305" s="3"/>
      <c r="AB2305" s="3"/>
    </row>
    <row r="2306" spans="1:28" x14ac:dyDescent="0.3">
      <c r="A2306" s="2"/>
      <c r="F2306" s="3"/>
      <c r="G2306" s="3"/>
      <c r="N2306" s="3"/>
      <c r="Q2306" s="3"/>
      <c r="R2306" s="3"/>
      <c r="S2306" s="3"/>
      <c r="V2306" s="3"/>
      <c r="W2306" s="3"/>
      <c r="X2306" s="3"/>
      <c r="Y2306" s="3"/>
      <c r="Z2306" s="3"/>
      <c r="AA2306" s="3"/>
      <c r="AB2306" s="3"/>
    </row>
    <row r="2307" spans="1:28" x14ac:dyDescent="0.3">
      <c r="A2307" s="2"/>
      <c r="F2307" s="3"/>
      <c r="G2307" s="3"/>
      <c r="N2307" s="3"/>
      <c r="Q2307" s="3"/>
      <c r="R2307" s="3"/>
      <c r="S2307" s="3"/>
      <c r="V2307" s="3"/>
      <c r="W2307" s="3"/>
      <c r="X2307" s="3"/>
      <c r="Y2307" s="3"/>
      <c r="Z2307" s="3"/>
      <c r="AA2307" s="3"/>
      <c r="AB2307" s="3"/>
    </row>
    <row r="2308" spans="1:28" x14ac:dyDescent="0.3">
      <c r="A2308" s="2"/>
      <c r="F2308" s="3"/>
      <c r="G2308" s="3"/>
      <c r="N2308" s="3"/>
      <c r="Q2308" s="3"/>
      <c r="R2308" s="3"/>
      <c r="S2308" s="3"/>
      <c r="V2308" s="3"/>
      <c r="W2308" s="3"/>
      <c r="X2308" s="3"/>
      <c r="Y2308" s="3"/>
      <c r="Z2308" s="3"/>
      <c r="AA2308" s="3"/>
      <c r="AB2308" s="3"/>
    </row>
    <row r="2309" spans="1:28" x14ac:dyDescent="0.3">
      <c r="A2309" s="2"/>
      <c r="F2309" s="3"/>
      <c r="G2309" s="3"/>
      <c r="N2309" s="3"/>
      <c r="Q2309" s="3"/>
      <c r="R2309" s="3"/>
      <c r="S2309" s="3"/>
      <c r="V2309" s="3"/>
      <c r="W2309" s="3"/>
      <c r="X2309" s="3"/>
      <c r="Y2309" s="3"/>
      <c r="Z2309" s="3"/>
      <c r="AA2309" s="3"/>
      <c r="AB2309" s="3"/>
    </row>
    <row r="2310" spans="1:28" x14ac:dyDescent="0.3">
      <c r="A2310" s="2"/>
      <c r="F2310" s="3"/>
      <c r="G2310" s="3"/>
      <c r="N2310" s="3"/>
      <c r="Q2310" s="3"/>
      <c r="R2310" s="3"/>
      <c r="S2310" s="3"/>
      <c r="V2310" s="3"/>
      <c r="W2310" s="3"/>
      <c r="X2310" s="3"/>
      <c r="Y2310" s="3"/>
      <c r="Z2310" s="3"/>
      <c r="AA2310" s="3"/>
      <c r="AB2310" s="3"/>
    </row>
    <row r="2311" spans="1:28" x14ac:dyDescent="0.3">
      <c r="A2311" s="2"/>
      <c r="F2311" s="3"/>
      <c r="G2311" s="3"/>
      <c r="N2311" s="3"/>
      <c r="Q2311" s="3"/>
      <c r="R2311" s="3"/>
      <c r="S2311" s="3"/>
      <c r="V2311" s="3"/>
      <c r="W2311" s="3"/>
      <c r="X2311" s="3"/>
      <c r="Y2311" s="3"/>
      <c r="Z2311" s="3"/>
      <c r="AA2311" s="3"/>
      <c r="AB2311" s="3"/>
    </row>
    <row r="2312" spans="1:28" x14ac:dyDescent="0.3">
      <c r="A2312" s="2"/>
      <c r="F2312" s="3"/>
      <c r="G2312" s="3"/>
      <c r="N2312" s="3"/>
      <c r="Q2312" s="3"/>
      <c r="R2312" s="3"/>
      <c r="S2312" s="3"/>
      <c r="V2312" s="3"/>
      <c r="W2312" s="3"/>
      <c r="X2312" s="3"/>
      <c r="Y2312" s="3"/>
      <c r="Z2312" s="3"/>
      <c r="AA2312" s="3"/>
      <c r="AB2312" s="3"/>
    </row>
    <row r="2313" spans="1:28" x14ac:dyDescent="0.3">
      <c r="A2313" s="2"/>
      <c r="F2313" s="3"/>
      <c r="G2313" s="3"/>
      <c r="N2313" s="3"/>
      <c r="Q2313" s="3"/>
      <c r="R2313" s="3"/>
      <c r="S2313" s="3"/>
      <c r="V2313" s="3"/>
      <c r="W2313" s="3"/>
      <c r="X2313" s="3"/>
      <c r="Y2313" s="3"/>
      <c r="Z2313" s="3"/>
      <c r="AA2313" s="3"/>
      <c r="AB2313" s="3"/>
    </row>
    <row r="2314" spans="1:28" x14ac:dyDescent="0.3">
      <c r="A2314" s="2"/>
      <c r="F2314" s="3"/>
      <c r="G2314" s="3"/>
      <c r="N2314" s="3"/>
      <c r="Q2314" s="3"/>
      <c r="R2314" s="3"/>
      <c r="S2314" s="3"/>
      <c r="V2314" s="3"/>
      <c r="W2314" s="3"/>
      <c r="X2314" s="3"/>
      <c r="Y2314" s="3"/>
      <c r="Z2314" s="3"/>
      <c r="AA2314" s="3"/>
      <c r="AB2314" s="3"/>
    </row>
    <row r="2315" spans="1:28" x14ac:dyDescent="0.3">
      <c r="A2315" s="2"/>
      <c r="F2315" s="3"/>
      <c r="G2315" s="3"/>
      <c r="N2315" s="3"/>
      <c r="Q2315" s="3"/>
      <c r="R2315" s="3"/>
      <c r="S2315" s="3"/>
      <c r="V2315" s="3"/>
      <c r="W2315" s="3"/>
      <c r="X2315" s="3"/>
      <c r="Y2315" s="3"/>
      <c r="Z2315" s="3"/>
      <c r="AA2315" s="3"/>
      <c r="AB2315" s="3"/>
    </row>
    <row r="2316" spans="1:28" x14ac:dyDescent="0.3">
      <c r="A2316" s="2"/>
      <c r="F2316" s="3"/>
      <c r="G2316" s="3"/>
      <c r="N2316" s="3"/>
      <c r="Q2316" s="3"/>
      <c r="R2316" s="3"/>
      <c r="S2316" s="3"/>
      <c r="V2316" s="3"/>
      <c r="W2316" s="3"/>
      <c r="X2316" s="3"/>
      <c r="Y2316" s="3"/>
      <c r="Z2316" s="3"/>
      <c r="AA2316" s="3"/>
      <c r="AB2316" s="3"/>
    </row>
    <row r="2317" spans="1:28" x14ac:dyDescent="0.3">
      <c r="A2317" s="2"/>
      <c r="F2317" s="3"/>
      <c r="G2317" s="3"/>
      <c r="N2317" s="3"/>
      <c r="Q2317" s="3"/>
      <c r="R2317" s="3"/>
      <c r="S2317" s="3"/>
      <c r="V2317" s="3"/>
      <c r="W2317" s="3"/>
      <c r="X2317" s="3"/>
      <c r="Y2317" s="3"/>
      <c r="Z2317" s="3"/>
      <c r="AA2317" s="3"/>
      <c r="AB2317" s="3"/>
    </row>
    <row r="2318" spans="1:28" x14ac:dyDescent="0.3">
      <c r="A2318" s="2"/>
      <c r="F2318" s="3"/>
      <c r="G2318" s="3"/>
      <c r="N2318" s="3"/>
      <c r="Q2318" s="3"/>
      <c r="R2318" s="3"/>
      <c r="S2318" s="3"/>
      <c r="V2318" s="3"/>
      <c r="W2318" s="3"/>
      <c r="X2318" s="3"/>
      <c r="Y2318" s="3"/>
      <c r="Z2318" s="3"/>
      <c r="AA2318" s="3"/>
      <c r="AB2318" s="3"/>
    </row>
    <row r="2319" spans="1:28" x14ac:dyDescent="0.3">
      <c r="A2319" s="2"/>
      <c r="F2319" s="3"/>
      <c r="G2319" s="3"/>
      <c r="N2319" s="3"/>
      <c r="Q2319" s="3"/>
      <c r="R2319" s="3"/>
      <c r="S2319" s="3"/>
      <c r="V2319" s="3"/>
      <c r="W2319" s="3"/>
      <c r="X2319" s="3"/>
      <c r="Y2319" s="3"/>
      <c r="Z2319" s="3"/>
      <c r="AA2319" s="3"/>
      <c r="AB2319" s="3"/>
    </row>
    <row r="2320" spans="1:28" x14ac:dyDescent="0.3">
      <c r="A2320" s="2"/>
      <c r="F2320" s="3"/>
      <c r="G2320" s="3"/>
      <c r="N2320" s="3"/>
      <c r="Q2320" s="3"/>
      <c r="R2320" s="3"/>
      <c r="S2320" s="3"/>
      <c r="V2320" s="3"/>
      <c r="W2320" s="3"/>
      <c r="X2320" s="3"/>
      <c r="Y2320" s="3"/>
      <c r="Z2320" s="3"/>
      <c r="AA2320" s="3"/>
      <c r="AB2320" s="3"/>
    </row>
    <row r="2321" spans="1:28" x14ac:dyDescent="0.3">
      <c r="A2321" s="2"/>
      <c r="F2321" s="3"/>
      <c r="G2321" s="3"/>
      <c r="N2321" s="3"/>
      <c r="Q2321" s="3"/>
      <c r="R2321" s="3"/>
      <c r="S2321" s="3"/>
      <c r="V2321" s="3"/>
      <c r="W2321" s="3"/>
      <c r="X2321" s="3"/>
      <c r="Y2321" s="3"/>
      <c r="Z2321" s="3"/>
      <c r="AA2321" s="3"/>
      <c r="AB2321" s="3"/>
    </row>
    <row r="2322" spans="1:28" x14ac:dyDescent="0.3">
      <c r="A2322" s="2"/>
      <c r="F2322" s="3"/>
      <c r="G2322" s="3"/>
      <c r="N2322" s="3"/>
      <c r="Q2322" s="3"/>
      <c r="R2322" s="3"/>
      <c r="S2322" s="3"/>
      <c r="V2322" s="3"/>
      <c r="W2322" s="3"/>
      <c r="X2322" s="3"/>
      <c r="Y2322" s="3"/>
      <c r="Z2322" s="3"/>
      <c r="AA2322" s="3"/>
      <c r="AB2322" s="3"/>
    </row>
    <row r="2323" spans="1:28" x14ac:dyDescent="0.3">
      <c r="A2323" s="2"/>
      <c r="F2323" s="3"/>
      <c r="G2323" s="3"/>
      <c r="N2323" s="3"/>
      <c r="Q2323" s="3"/>
      <c r="R2323" s="3"/>
      <c r="S2323" s="3"/>
      <c r="V2323" s="3"/>
      <c r="W2323" s="3"/>
      <c r="X2323" s="3"/>
      <c r="Y2323" s="3"/>
      <c r="Z2323" s="3"/>
      <c r="AA2323" s="3"/>
      <c r="AB2323" s="3"/>
    </row>
    <row r="2324" spans="1:28" x14ac:dyDescent="0.3">
      <c r="A2324" s="2"/>
      <c r="F2324" s="3"/>
      <c r="G2324" s="3"/>
      <c r="N2324" s="3"/>
      <c r="Q2324" s="3"/>
      <c r="R2324" s="3"/>
      <c r="S2324" s="3"/>
      <c r="V2324" s="3"/>
      <c r="W2324" s="3"/>
      <c r="X2324" s="3"/>
      <c r="Y2324" s="3"/>
      <c r="Z2324" s="3"/>
      <c r="AA2324" s="3"/>
      <c r="AB2324" s="3"/>
    </row>
    <row r="2325" spans="1:28" x14ac:dyDescent="0.3">
      <c r="A2325" s="2"/>
      <c r="F2325" s="3"/>
      <c r="G2325" s="3"/>
      <c r="N2325" s="3"/>
      <c r="Q2325" s="3"/>
      <c r="R2325" s="3"/>
      <c r="S2325" s="3"/>
      <c r="V2325" s="3"/>
      <c r="W2325" s="3"/>
      <c r="X2325" s="3"/>
      <c r="Y2325" s="3"/>
      <c r="Z2325" s="3"/>
      <c r="AA2325" s="3"/>
      <c r="AB2325" s="3"/>
    </row>
    <row r="2326" spans="1:28" x14ac:dyDescent="0.3">
      <c r="A2326" s="2"/>
      <c r="F2326" s="3"/>
      <c r="G2326" s="3"/>
      <c r="N2326" s="3"/>
      <c r="Q2326" s="3"/>
      <c r="R2326" s="3"/>
      <c r="S2326" s="3"/>
      <c r="V2326" s="3"/>
      <c r="W2326" s="3"/>
      <c r="X2326" s="3"/>
      <c r="Y2326" s="3"/>
      <c r="Z2326" s="3"/>
      <c r="AA2326" s="3"/>
      <c r="AB2326" s="3"/>
    </row>
    <row r="2327" spans="1:28" x14ac:dyDescent="0.3">
      <c r="A2327" s="2"/>
      <c r="F2327" s="3"/>
      <c r="G2327" s="3"/>
      <c r="N2327" s="3"/>
      <c r="Q2327" s="3"/>
      <c r="R2327" s="3"/>
      <c r="S2327" s="3"/>
      <c r="V2327" s="3"/>
      <c r="W2327" s="3"/>
      <c r="X2327" s="3"/>
      <c r="Y2327" s="3"/>
      <c r="Z2327" s="3"/>
      <c r="AA2327" s="3"/>
      <c r="AB2327" s="3"/>
    </row>
    <row r="2328" spans="1:28" x14ac:dyDescent="0.3">
      <c r="A2328" s="2"/>
      <c r="F2328" s="3"/>
      <c r="G2328" s="3"/>
      <c r="N2328" s="3"/>
      <c r="Q2328" s="3"/>
      <c r="R2328" s="3"/>
      <c r="S2328" s="3"/>
      <c r="V2328" s="3"/>
      <c r="W2328" s="3"/>
      <c r="X2328" s="3"/>
      <c r="Y2328" s="3"/>
      <c r="Z2328" s="3"/>
      <c r="AA2328" s="3"/>
      <c r="AB2328" s="3"/>
    </row>
    <row r="2329" spans="1:28" x14ac:dyDescent="0.3">
      <c r="A2329" s="2"/>
      <c r="F2329" s="3"/>
      <c r="G2329" s="3"/>
      <c r="N2329" s="3"/>
      <c r="Q2329" s="3"/>
      <c r="R2329" s="3"/>
      <c r="S2329" s="3"/>
      <c r="V2329" s="3"/>
      <c r="W2329" s="3"/>
      <c r="X2329" s="3"/>
      <c r="Y2329" s="3"/>
      <c r="Z2329" s="3"/>
      <c r="AA2329" s="3"/>
      <c r="AB2329" s="3"/>
    </row>
    <row r="2330" spans="1:28" x14ac:dyDescent="0.3">
      <c r="A2330" s="2"/>
      <c r="F2330" s="3"/>
      <c r="G2330" s="3"/>
      <c r="N2330" s="3"/>
      <c r="Q2330" s="3"/>
      <c r="R2330" s="3"/>
      <c r="S2330" s="3"/>
      <c r="V2330" s="3"/>
      <c r="W2330" s="3"/>
      <c r="X2330" s="3"/>
      <c r="Y2330" s="3"/>
      <c r="Z2330" s="3"/>
      <c r="AA2330" s="3"/>
      <c r="AB2330" s="3"/>
    </row>
    <row r="2331" spans="1:28" x14ac:dyDescent="0.3">
      <c r="A2331" s="2"/>
      <c r="F2331" s="3"/>
      <c r="G2331" s="3"/>
      <c r="N2331" s="3"/>
      <c r="Q2331" s="3"/>
      <c r="R2331" s="3"/>
      <c r="S2331" s="3"/>
      <c r="V2331" s="3"/>
      <c r="W2331" s="3"/>
      <c r="X2331" s="3"/>
      <c r="Y2331" s="3"/>
      <c r="Z2331" s="3"/>
      <c r="AA2331" s="3"/>
      <c r="AB2331" s="3"/>
    </row>
    <row r="2332" spans="1:28" x14ac:dyDescent="0.3">
      <c r="A2332" s="2"/>
      <c r="F2332" s="3"/>
      <c r="G2332" s="3"/>
      <c r="N2332" s="3"/>
      <c r="Q2332" s="3"/>
      <c r="R2332" s="3"/>
      <c r="S2332" s="3"/>
      <c r="V2332" s="3"/>
      <c r="W2332" s="3"/>
      <c r="X2332" s="3"/>
      <c r="Y2332" s="3"/>
      <c r="Z2332" s="3"/>
      <c r="AA2332" s="3"/>
      <c r="AB2332" s="3"/>
    </row>
    <row r="2333" spans="1:28" x14ac:dyDescent="0.3">
      <c r="A2333" s="2"/>
      <c r="F2333" s="3"/>
      <c r="G2333" s="3"/>
      <c r="N2333" s="3"/>
      <c r="Q2333" s="3"/>
      <c r="R2333" s="3"/>
      <c r="S2333" s="3"/>
      <c r="V2333" s="3"/>
      <c r="W2333" s="3"/>
      <c r="X2333" s="3"/>
      <c r="Y2333" s="3"/>
      <c r="Z2333" s="3"/>
      <c r="AA2333" s="3"/>
      <c r="AB2333" s="3"/>
    </row>
    <row r="2334" spans="1:28" x14ac:dyDescent="0.3">
      <c r="A2334" s="2"/>
      <c r="F2334" s="3"/>
      <c r="G2334" s="3"/>
      <c r="N2334" s="3"/>
      <c r="Q2334" s="3"/>
      <c r="R2334" s="3"/>
      <c r="S2334" s="3"/>
      <c r="V2334" s="3"/>
      <c r="W2334" s="3"/>
      <c r="X2334" s="3"/>
      <c r="Y2334" s="3"/>
      <c r="Z2334" s="3"/>
      <c r="AA2334" s="3"/>
      <c r="AB2334" s="3"/>
    </row>
    <row r="2335" spans="1:28" x14ac:dyDescent="0.3">
      <c r="A2335" s="2"/>
      <c r="F2335" s="3"/>
      <c r="G2335" s="3"/>
      <c r="N2335" s="3"/>
      <c r="Q2335" s="3"/>
      <c r="R2335" s="3"/>
      <c r="S2335" s="3"/>
      <c r="V2335" s="3"/>
      <c r="W2335" s="3"/>
      <c r="X2335" s="3"/>
      <c r="Y2335" s="3"/>
      <c r="Z2335" s="3"/>
      <c r="AA2335" s="3"/>
      <c r="AB2335" s="3"/>
    </row>
    <row r="2336" spans="1:28" x14ac:dyDescent="0.3">
      <c r="A2336" s="2"/>
      <c r="F2336" s="3"/>
      <c r="G2336" s="3"/>
      <c r="N2336" s="3"/>
      <c r="Q2336" s="3"/>
      <c r="R2336" s="3"/>
      <c r="S2336" s="3"/>
      <c r="V2336" s="3"/>
      <c r="W2336" s="3"/>
      <c r="X2336" s="3"/>
      <c r="Y2336" s="3"/>
      <c r="Z2336" s="3"/>
      <c r="AA2336" s="3"/>
      <c r="AB2336" s="3"/>
    </row>
    <row r="2337" spans="1:28" x14ac:dyDescent="0.3">
      <c r="A2337" s="2"/>
      <c r="F2337" s="3"/>
      <c r="G2337" s="3"/>
      <c r="N2337" s="3"/>
      <c r="Q2337" s="3"/>
      <c r="R2337" s="3"/>
      <c r="S2337" s="3"/>
      <c r="V2337" s="3"/>
      <c r="W2337" s="3"/>
      <c r="X2337" s="3"/>
      <c r="Y2337" s="3"/>
      <c r="Z2337" s="3"/>
      <c r="AA2337" s="3"/>
      <c r="AB2337" s="3"/>
    </row>
    <row r="2338" spans="1:28" x14ac:dyDescent="0.3">
      <c r="A2338" s="2"/>
      <c r="F2338" s="3"/>
      <c r="G2338" s="3"/>
      <c r="N2338" s="3"/>
      <c r="Q2338" s="3"/>
      <c r="R2338" s="3"/>
      <c r="S2338" s="3"/>
      <c r="V2338" s="3"/>
      <c r="W2338" s="3"/>
      <c r="X2338" s="3"/>
      <c r="Y2338" s="3"/>
      <c r="Z2338" s="3"/>
      <c r="AA2338" s="3"/>
      <c r="AB2338" s="3"/>
    </row>
    <row r="2339" spans="1:28" x14ac:dyDescent="0.3">
      <c r="A2339" s="2"/>
      <c r="F2339" s="3"/>
      <c r="G2339" s="3"/>
      <c r="N2339" s="3"/>
      <c r="Q2339" s="3"/>
      <c r="R2339" s="3"/>
      <c r="S2339" s="3"/>
      <c r="V2339" s="3"/>
      <c r="W2339" s="3"/>
      <c r="X2339" s="3"/>
      <c r="Y2339" s="3"/>
      <c r="Z2339" s="3"/>
      <c r="AA2339" s="3"/>
      <c r="AB2339" s="3"/>
    </row>
    <row r="2340" spans="1:28" x14ac:dyDescent="0.3">
      <c r="A2340" s="2"/>
      <c r="F2340" s="3"/>
      <c r="G2340" s="3"/>
      <c r="N2340" s="3"/>
      <c r="Q2340" s="3"/>
      <c r="R2340" s="3"/>
      <c r="S2340" s="3"/>
      <c r="V2340" s="3"/>
      <c r="W2340" s="3"/>
      <c r="X2340" s="3"/>
      <c r="Y2340" s="3"/>
      <c r="Z2340" s="3"/>
      <c r="AA2340" s="3"/>
      <c r="AB2340" s="3"/>
    </row>
    <row r="2341" spans="1:28" x14ac:dyDescent="0.3">
      <c r="A2341" s="2"/>
      <c r="F2341" s="3"/>
      <c r="G2341" s="3"/>
      <c r="N2341" s="3"/>
      <c r="Q2341" s="3"/>
      <c r="R2341" s="3"/>
      <c r="S2341" s="3"/>
      <c r="V2341" s="3"/>
      <c r="W2341" s="3"/>
      <c r="X2341" s="3"/>
      <c r="Y2341" s="3"/>
      <c r="Z2341" s="3"/>
      <c r="AA2341" s="3"/>
      <c r="AB2341" s="3"/>
    </row>
    <row r="2342" spans="1:28" x14ac:dyDescent="0.3">
      <c r="A2342" s="2"/>
      <c r="F2342" s="3"/>
      <c r="G2342" s="3"/>
      <c r="N2342" s="3"/>
      <c r="Q2342" s="3"/>
      <c r="R2342" s="3"/>
      <c r="S2342" s="3"/>
      <c r="V2342" s="3"/>
      <c r="W2342" s="3"/>
      <c r="X2342" s="3"/>
      <c r="Y2342" s="3"/>
      <c r="Z2342" s="3"/>
      <c r="AA2342" s="3"/>
      <c r="AB2342" s="3"/>
    </row>
    <row r="2343" spans="1:28" x14ac:dyDescent="0.3">
      <c r="A2343" s="2"/>
      <c r="F2343" s="3"/>
      <c r="G2343" s="3"/>
      <c r="N2343" s="3"/>
      <c r="Q2343" s="3"/>
      <c r="R2343" s="3"/>
      <c r="S2343" s="3"/>
      <c r="V2343" s="3"/>
      <c r="W2343" s="3"/>
      <c r="X2343" s="3"/>
      <c r="Y2343" s="3"/>
      <c r="Z2343" s="3"/>
      <c r="AA2343" s="3"/>
      <c r="AB2343" s="3"/>
    </row>
    <row r="2344" spans="1:28" x14ac:dyDescent="0.3">
      <c r="A2344" s="2"/>
      <c r="F2344" s="3"/>
      <c r="G2344" s="3"/>
      <c r="N2344" s="3"/>
      <c r="Q2344" s="3"/>
      <c r="R2344" s="3"/>
      <c r="S2344" s="3"/>
      <c r="V2344" s="3"/>
      <c r="W2344" s="3"/>
      <c r="X2344" s="3"/>
      <c r="Y2344" s="3"/>
      <c r="Z2344" s="3"/>
      <c r="AA2344" s="3"/>
      <c r="AB2344" s="3"/>
    </row>
    <row r="2345" spans="1:28" x14ac:dyDescent="0.3">
      <c r="A2345" s="2"/>
      <c r="F2345" s="3"/>
      <c r="G2345" s="3"/>
      <c r="N2345" s="3"/>
      <c r="Q2345" s="3"/>
      <c r="R2345" s="3"/>
      <c r="S2345" s="3"/>
      <c r="V2345" s="3"/>
      <c r="W2345" s="3"/>
      <c r="X2345" s="3"/>
      <c r="Y2345" s="3"/>
      <c r="Z2345" s="3"/>
      <c r="AA2345" s="3"/>
      <c r="AB2345" s="3"/>
    </row>
    <row r="2346" spans="1:28" x14ac:dyDescent="0.3">
      <c r="A2346" s="2"/>
      <c r="F2346" s="3"/>
      <c r="G2346" s="3"/>
      <c r="N2346" s="3"/>
      <c r="Q2346" s="3"/>
      <c r="R2346" s="3"/>
      <c r="S2346" s="3"/>
      <c r="V2346" s="3"/>
      <c r="W2346" s="3"/>
      <c r="X2346" s="3"/>
      <c r="Y2346" s="3"/>
      <c r="Z2346" s="3"/>
      <c r="AA2346" s="3"/>
      <c r="AB2346" s="3"/>
    </row>
    <row r="2347" spans="1:28" x14ac:dyDescent="0.3">
      <c r="A2347" s="2"/>
      <c r="F2347" s="3"/>
      <c r="G2347" s="3"/>
      <c r="N2347" s="3"/>
      <c r="Q2347" s="3"/>
      <c r="R2347" s="3"/>
      <c r="S2347" s="3"/>
      <c r="V2347" s="3"/>
      <c r="W2347" s="3"/>
      <c r="X2347" s="3"/>
      <c r="Y2347" s="3"/>
      <c r="Z2347" s="3"/>
      <c r="AA2347" s="3"/>
      <c r="AB2347" s="3"/>
    </row>
    <row r="2348" spans="1:28" x14ac:dyDescent="0.3">
      <c r="A2348" s="2"/>
      <c r="F2348" s="3"/>
      <c r="G2348" s="3"/>
      <c r="N2348" s="3"/>
      <c r="Q2348" s="3"/>
      <c r="R2348" s="3"/>
      <c r="S2348" s="3"/>
      <c r="V2348" s="3"/>
      <c r="W2348" s="3"/>
      <c r="X2348" s="3"/>
      <c r="Y2348" s="3"/>
      <c r="Z2348" s="3"/>
      <c r="AA2348" s="3"/>
      <c r="AB2348" s="3"/>
    </row>
    <row r="2349" spans="1:28" x14ac:dyDescent="0.3">
      <c r="A2349" s="2"/>
      <c r="F2349" s="3"/>
      <c r="G2349" s="3"/>
      <c r="N2349" s="3"/>
      <c r="Q2349" s="3"/>
      <c r="R2349" s="3"/>
      <c r="S2349" s="3"/>
      <c r="V2349" s="3"/>
      <c r="W2349" s="3"/>
      <c r="X2349" s="3"/>
      <c r="Y2349" s="3"/>
      <c r="Z2349" s="3"/>
      <c r="AA2349" s="3"/>
      <c r="AB2349" s="3"/>
    </row>
    <row r="2350" spans="1:28" x14ac:dyDescent="0.3">
      <c r="A2350" s="2"/>
      <c r="F2350" s="3"/>
      <c r="G2350" s="3"/>
      <c r="N2350" s="3"/>
      <c r="Q2350" s="3"/>
      <c r="R2350" s="3"/>
      <c r="S2350" s="3"/>
      <c r="V2350" s="3"/>
      <c r="W2350" s="3"/>
      <c r="X2350" s="3"/>
      <c r="Y2350" s="3"/>
      <c r="Z2350" s="3"/>
      <c r="AA2350" s="3"/>
      <c r="AB2350" s="3"/>
    </row>
    <row r="2351" spans="1:28" x14ac:dyDescent="0.3">
      <c r="A2351" s="2"/>
      <c r="F2351" s="3"/>
      <c r="G2351" s="3"/>
      <c r="N2351" s="3"/>
      <c r="Q2351" s="3"/>
      <c r="R2351" s="3"/>
      <c r="S2351" s="3"/>
      <c r="V2351" s="3"/>
      <c r="W2351" s="3"/>
      <c r="X2351" s="3"/>
      <c r="Y2351" s="3"/>
      <c r="Z2351" s="3"/>
      <c r="AA2351" s="3"/>
      <c r="AB2351" s="3"/>
    </row>
    <row r="2352" spans="1:28" x14ac:dyDescent="0.3">
      <c r="A2352" s="2"/>
      <c r="F2352" s="3"/>
      <c r="G2352" s="3"/>
      <c r="N2352" s="3"/>
      <c r="Q2352" s="3"/>
      <c r="R2352" s="3"/>
      <c r="S2352" s="3"/>
      <c r="V2352" s="3"/>
      <c r="W2352" s="3"/>
      <c r="X2352" s="3"/>
      <c r="Y2352" s="3"/>
      <c r="Z2352" s="3"/>
      <c r="AA2352" s="3"/>
      <c r="AB2352" s="3"/>
    </row>
    <row r="2353" spans="1:28" x14ac:dyDescent="0.3">
      <c r="A2353" s="2"/>
      <c r="F2353" s="3"/>
      <c r="G2353" s="3"/>
      <c r="N2353" s="3"/>
      <c r="Q2353" s="3"/>
      <c r="R2353" s="3"/>
      <c r="S2353" s="3"/>
      <c r="V2353" s="3"/>
      <c r="W2353" s="3"/>
      <c r="X2353" s="3"/>
      <c r="Y2353" s="3"/>
      <c r="Z2353" s="3"/>
      <c r="AA2353" s="3"/>
      <c r="AB2353" s="3"/>
    </row>
    <row r="2354" spans="1:28" x14ac:dyDescent="0.3">
      <c r="A2354" s="2"/>
      <c r="F2354" s="3"/>
      <c r="G2354" s="3"/>
      <c r="N2354" s="3"/>
      <c r="Q2354" s="3"/>
      <c r="R2354" s="3"/>
      <c r="S2354" s="3"/>
      <c r="V2354" s="3"/>
      <c r="W2354" s="3"/>
      <c r="X2354" s="3"/>
      <c r="Y2354" s="3"/>
      <c r="Z2354" s="3"/>
      <c r="AA2354" s="3"/>
      <c r="AB2354" s="3"/>
    </row>
    <row r="2355" spans="1:28" x14ac:dyDescent="0.3">
      <c r="A2355" s="2"/>
      <c r="F2355" s="3"/>
      <c r="G2355" s="3"/>
      <c r="N2355" s="3"/>
      <c r="Q2355" s="3"/>
      <c r="R2355" s="3"/>
      <c r="S2355" s="3"/>
      <c r="V2355" s="3"/>
      <c r="W2355" s="3"/>
      <c r="X2355" s="3"/>
      <c r="Y2355" s="3"/>
      <c r="Z2355" s="3"/>
      <c r="AA2355" s="3"/>
      <c r="AB2355" s="3"/>
    </row>
    <row r="2356" spans="1:28" x14ac:dyDescent="0.3">
      <c r="A2356" s="2"/>
      <c r="F2356" s="3"/>
      <c r="G2356" s="3"/>
      <c r="N2356" s="3"/>
      <c r="Q2356" s="3"/>
      <c r="R2356" s="3"/>
      <c r="S2356" s="3"/>
      <c r="V2356" s="3"/>
      <c r="W2356" s="3"/>
      <c r="X2356" s="3"/>
      <c r="Y2356" s="3"/>
      <c r="Z2356" s="3"/>
      <c r="AA2356" s="3"/>
      <c r="AB2356" s="3"/>
    </row>
    <row r="2357" spans="1:28" x14ac:dyDescent="0.3">
      <c r="A2357" s="2"/>
      <c r="F2357" s="3"/>
      <c r="G2357" s="3"/>
      <c r="N2357" s="3"/>
      <c r="Q2357" s="3"/>
      <c r="R2357" s="3"/>
      <c r="S2357" s="3"/>
      <c r="V2357" s="3"/>
      <c r="W2357" s="3"/>
      <c r="X2357" s="3"/>
      <c r="Y2357" s="3"/>
      <c r="Z2357" s="3"/>
      <c r="AA2357" s="3"/>
      <c r="AB2357" s="3"/>
    </row>
    <row r="2358" spans="1:28" x14ac:dyDescent="0.3">
      <c r="A2358" s="2"/>
      <c r="F2358" s="3"/>
      <c r="G2358" s="3"/>
      <c r="N2358" s="3"/>
      <c r="Q2358" s="3"/>
      <c r="R2358" s="3"/>
      <c r="S2358" s="3"/>
      <c r="V2358" s="3"/>
      <c r="W2358" s="3"/>
      <c r="X2358" s="3"/>
      <c r="Y2358" s="3"/>
      <c r="Z2358" s="3"/>
      <c r="AA2358" s="3"/>
      <c r="AB2358" s="3"/>
    </row>
    <row r="2359" spans="1:28" x14ac:dyDescent="0.3">
      <c r="A2359" s="2"/>
      <c r="F2359" s="3"/>
      <c r="G2359" s="3"/>
      <c r="N2359" s="3"/>
      <c r="Q2359" s="3"/>
      <c r="R2359" s="3"/>
      <c r="S2359" s="3"/>
      <c r="V2359" s="3"/>
      <c r="W2359" s="3"/>
      <c r="X2359" s="3"/>
      <c r="Y2359" s="3"/>
      <c r="Z2359" s="3"/>
      <c r="AA2359" s="3"/>
      <c r="AB2359" s="3"/>
    </row>
    <row r="2360" spans="1:28" x14ac:dyDescent="0.3">
      <c r="A2360" s="2"/>
      <c r="F2360" s="3"/>
      <c r="G2360" s="3"/>
      <c r="N2360" s="3"/>
      <c r="Q2360" s="3"/>
      <c r="R2360" s="3"/>
      <c r="S2360" s="3"/>
      <c r="V2360" s="3"/>
      <c r="W2360" s="3"/>
      <c r="X2360" s="3"/>
      <c r="Y2360" s="3"/>
      <c r="Z2360" s="3"/>
      <c r="AA2360" s="3"/>
      <c r="AB2360" s="3"/>
    </row>
    <row r="2361" spans="1:28" x14ac:dyDescent="0.3">
      <c r="A2361" s="2"/>
      <c r="F2361" s="3"/>
      <c r="G2361" s="3"/>
      <c r="N2361" s="3"/>
      <c r="Q2361" s="3"/>
      <c r="R2361" s="3"/>
      <c r="S2361" s="3"/>
      <c r="V2361" s="3"/>
      <c r="W2361" s="3"/>
      <c r="X2361" s="3"/>
      <c r="Y2361" s="3"/>
      <c r="Z2361" s="3"/>
      <c r="AA2361" s="3"/>
      <c r="AB2361" s="3"/>
    </row>
    <row r="2362" spans="1:28" x14ac:dyDescent="0.3">
      <c r="A2362" s="2"/>
      <c r="F2362" s="3"/>
      <c r="G2362" s="3"/>
      <c r="N2362" s="3"/>
      <c r="Q2362" s="3"/>
      <c r="R2362" s="3"/>
      <c r="S2362" s="3"/>
      <c r="V2362" s="3"/>
      <c r="W2362" s="3"/>
      <c r="X2362" s="3"/>
      <c r="Y2362" s="3"/>
      <c r="Z2362" s="3"/>
      <c r="AA2362" s="3"/>
      <c r="AB2362" s="3"/>
    </row>
    <row r="2363" spans="1:28" x14ac:dyDescent="0.3">
      <c r="A2363" s="2"/>
      <c r="F2363" s="3"/>
      <c r="G2363" s="3"/>
      <c r="N2363" s="3"/>
      <c r="Q2363" s="3"/>
      <c r="R2363" s="3"/>
      <c r="S2363" s="3"/>
      <c r="V2363" s="3"/>
      <c r="W2363" s="3"/>
      <c r="X2363" s="3"/>
      <c r="Y2363" s="3"/>
      <c r="Z2363" s="3"/>
      <c r="AA2363" s="3"/>
      <c r="AB2363" s="3"/>
    </row>
    <row r="2364" spans="1:28" x14ac:dyDescent="0.3">
      <c r="A2364" s="2"/>
      <c r="F2364" s="3"/>
      <c r="G2364" s="3"/>
      <c r="N2364" s="3"/>
      <c r="Q2364" s="3"/>
      <c r="R2364" s="3"/>
      <c r="S2364" s="3"/>
      <c r="V2364" s="3"/>
      <c r="W2364" s="3"/>
      <c r="X2364" s="3"/>
      <c r="Y2364" s="3"/>
      <c r="Z2364" s="3"/>
      <c r="AA2364" s="3"/>
      <c r="AB2364" s="3"/>
    </row>
    <row r="2365" spans="1:28" x14ac:dyDescent="0.3">
      <c r="A2365" s="2"/>
      <c r="F2365" s="3"/>
      <c r="G2365" s="3"/>
      <c r="N2365" s="3"/>
      <c r="Q2365" s="3"/>
      <c r="R2365" s="3"/>
      <c r="S2365" s="3"/>
      <c r="V2365" s="3"/>
      <c r="W2365" s="3"/>
      <c r="X2365" s="3"/>
      <c r="Y2365" s="3"/>
      <c r="Z2365" s="3"/>
      <c r="AA2365" s="3"/>
      <c r="AB2365" s="3"/>
    </row>
    <row r="2366" spans="1:28" x14ac:dyDescent="0.3">
      <c r="A2366" s="2"/>
      <c r="F2366" s="3"/>
      <c r="G2366" s="3"/>
      <c r="N2366" s="3"/>
      <c r="Q2366" s="3"/>
      <c r="R2366" s="3"/>
      <c r="S2366" s="3"/>
      <c r="V2366" s="3"/>
      <c r="W2366" s="3"/>
      <c r="X2366" s="3"/>
      <c r="Y2366" s="3"/>
      <c r="Z2366" s="3"/>
      <c r="AA2366" s="3"/>
      <c r="AB2366" s="3"/>
    </row>
    <row r="2367" spans="1:28" x14ac:dyDescent="0.3">
      <c r="A2367" s="2"/>
      <c r="F2367" s="3"/>
      <c r="G2367" s="3"/>
      <c r="N2367" s="3"/>
      <c r="Q2367" s="3"/>
      <c r="R2367" s="3"/>
      <c r="S2367" s="3"/>
      <c r="V2367" s="3"/>
      <c r="W2367" s="3"/>
      <c r="X2367" s="3"/>
      <c r="Y2367" s="3"/>
      <c r="Z2367" s="3"/>
      <c r="AA2367" s="3"/>
      <c r="AB2367" s="3"/>
    </row>
    <row r="2368" spans="1:28" x14ac:dyDescent="0.3">
      <c r="A2368" s="2"/>
      <c r="F2368" s="3"/>
      <c r="G2368" s="3"/>
      <c r="N2368" s="3"/>
      <c r="Q2368" s="3"/>
      <c r="R2368" s="3"/>
      <c r="S2368" s="3"/>
      <c r="V2368" s="3"/>
      <c r="W2368" s="3"/>
      <c r="X2368" s="3"/>
      <c r="Y2368" s="3"/>
      <c r="Z2368" s="3"/>
      <c r="AA2368" s="3"/>
      <c r="AB2368" s="3"/>
    </row>
    <row r="2369" spans="1:28" x14ac:dyDescent="0.3">
      <c r="A2369" s="2"/>
      <c r="F2369" s="3"/>
      <c r="G2369" s="3"/>
      <c r="N2369" s="3"/>
      <c r="Q2369" s="3"/>
      <c r="R2369" s="3"/>
      <c r="S2369" s="3"/>
      <c r="V2369" s="3"/>
      <c r="W2369" s="3"/>
      <c r="X2369" s="3"/>
      <c r="Y2369" s="3"/>
      <c r="Z2369" s="3"/>
      <c r="AA2369" s="3"/>
      <c r="AB2369" s="3"/>
    </row>
    <row r="2370" spans="1:28" x14ac:dyDescent="0.3">
      <c r="A2370" s="2"/>
      <c r="F2370" s="3"/>
      <c r="G2370" s="3"/>
      <c r="N2370" s="3"/>
      <c r="Q2370" s="3"/>
      <c r="R2370" s="3"/>
      <c r="S2370" s="3"/>
      <c r="V2370" s="3"/>
      <c r="W2370" s="3"/>
      <c r="X2370" s="3"/>
      <c r="Y2370" s="3"/>
      <c r="Z2370" s="3"/>
      <c r="AA2370" s="3"/>
      <c r="AB2370" s="3"/>
    </row>
    <row r="2371" spans="1:28" x14ac:dyDescent="0.3">
      <c r="A2371" s="2"/>
      <c r="F2371" s="3"/>
      <c r="G2371" s="3"/>
      <c r="N2371" s="3"/>
      <c r="Q2371" s="3"/>
      <c r="R2371" s="3"/>
      <c r="S2371" s="3"/>
      <c r="V2371" s="3"/>
      <c r="W2371" s="3"/>
      <c r="X2371" s="3"/>
      <c r="Y2371" s="3"/>
      <c r="Z2371" s="3"/>
      <c r="AA2371" s="3"/>
      <c r="AB2371" s="3"/>
    </row>
    <row r="2372" spans="1:28" x14ac:dyDescent="0.3">
      <c r="A2372" s="2"/>
      <c r="F2372" s="3"/>
      <c r="G2372" s="3"/>
      <c r="N2372" s="3"/>
      <c r="Q2372" s="3"/>
      <c r="R2372" s="3"/>
      <c r="S2372" s="3"/>
      <c r="V2372" s="3"/>
      <c r="W2372" s="3"/>
      <c r="X2372" s="3"/>
      <c r="Y2372" s="3"/>
      <c r="Z2372" s="3"/>
      <c r="AA2372" s="3"/>
      <c r="AB2372" s="3"/>
    </row>
    <row r="2373" spans="1:28" x14ac:dyDescent="0.3">
      <c r="A2373" s="2"/>
      <c r="F2373" s="3"/>
      <c r="G2373" s="3"/>
      <c r="N2373" s="3"/>
      <c r="Q2373" s="3"/>
      <c r="R2373" s="3"/>
      <c r="S2373" s="3"/>
      <c r="V2373" s="3"/>
      <c r="W2373" s="3"/>
      <c r="X2373" s="3"/>
      <c r="Y2373" s="3"/>
      <c r="Z2373" s="3"/>
      <c r="AA2373" s="3"/>
      <c r="AB2373" s="3"/>
    </row>
    <row r="2374" spans="1:28" x14ac:dyDescent="0.3">
      <c r="A2374" s="2"/>
      <c r="F2374" s="3"/>
      <c r="G2374" s="3"/>
      <c r="N2374" s="3"/>
      <c r="Q2374" s="3"/>
      <c r="R2374" s="3"/>
      <c r="S2374" s="3"/>
      <c r="V2374" s="3"/>
      <c r="W2374" s="3"/>
      <c r="X2374" s="3"/>
      <c r="Y2374" s="3"/>
      <c r="Z2374" s="3"/>
      <c r="AA2374" s="3"/>
      <c r="AB2374" s="3"/>
    </row>
    <row r="2375" spans="1:28" x14ac:dyDescent="0.3">
      <c r="A2375" s="2"/>
      <c r="F2375" s="3"/>
      <c r="G2375" s="3"/>
      <c r="N2375" s="3"/>
      <c r="Q2375" s="3"/>
      <c r="R2375" s="3"/>
      <c r="S2375" s="3"/>
      <c r="V2375" s="3"/>
      <c r="W2375" s="3"/>
      <c r="X2375" s="3"/>
      <c r="Y2375" s="3"/>
      <c r="Z2375" s="3"/>
      <c r="AA2375" s="3"/>
      <c r="AB2375" s="3"/>
    </row>
    <row r="2376" spans="1:28" x14ac:dyDescent="0.3">
      <c r="A2376" s="2"/>
      <c r="F2376" s="3"/>
      <c r="G2376" s="3"/>
      <c r="N2376" s="3"/>
      <c r="Q2376" s="3"/>
      <c r="R2376" s="3"/>
      <c r="S2376" s="3"/>
      <c r="V2376" s="3"/>
      <c r="W2376" s="3"/>
      <c r="X2376" s="3"/>
      <c r="Y2376" s="3"/>
      <c r="Z2376" s="3"/>
      <c r="AA2376" s="3"/>
      <c r="AB2376" s="3"/>
    </row>
    <row r="2377" spans="1:28" x14ac:dyDescent="0.3">
      <c r="A2377" s="2"/>
      <c r="F2377" s="3"/>
      <c r="G2377" s="3"/>
      <c r="N2377" s="3"/>
      <c r="Q2377" s="3"/>
      <c r="R2377" s="3"/>
      <c r="S2377" s="3"/>
      <c r="V2377" s="3"/>
      <c r="W2377" s="3"/>
      <c r="X2377" s="3"/>
      <c r="Y2377" s="3"/>
      <c r="Z2377" s="3"/>
      <c r="AA2377" s="3"/>
      <c r="AB2377" s="3"/>
    </row>
    <row r="2378" spans="1:28" x14ac:dyDescent="0.3">
      <c r="A2378" s="2"/>
      <c r="F2378" s="3"/>
      <c r="G2378" s="3"/>
      <c r="N2378" s="3"/>
      <c r="Q2378" s="3"/>
      <c r="R2378" s="3"/>
      <c r="S2378" s="3"/>
      <c r="V2378" s="3"/>
      <c r="W2378" s="3"/>
      <c r="X2378" s="3"/>
      <c r="Y2378" s="3"/>
      <c r="Z2378" s="3"/>
      <c r="AA2378" s="3"/>
      <c r="AB2378" s="3"/>
    </row>
    <row r="2379" spans="1:28" x14ac:dyDescent="0.3">
      <c r="A2379" s="2"/>
      <c r="F2379" s="3"/>
      <c r="G2379" s="3"/>
      <c r="N2379" s="3"/>
      <c r="Q2379" s="3"/>
      <c r="R2379" s="3"/>
      <c r="S2379" s="3"/>
      <c r="V2379" s="3"/>
      <c r="W2379" s="3"/>
      <c r="X2379" s="3"/>
      <c r="Y2379" s="3"/>
      <c r="Z2379" s="3"/>
      <c r="AA2379" s="3"/>
      <c r="AB2379" s="3"/>
    </row>
    <row r="2380" spans="1:28" x14ac:dyDescent="0.3">
      <c r="A2380" s="2"/>
      <c r="F2380" s="3"/>
      <c r="G2380" s="3"/>
      <c r="N2380" s="3"/>
      <c r="Q2380" s="3"/>
      <c r="R2380" s="3"/>
      <c r="S2380" s="3"/>
      <c r="V2380" s="3"/>
      <c r="W2380" s="3"/>
      <c r="X2380" s="3"/>
      <c r="Y2380" s="3"/>
      <c r="Z2380" s="3"/>
      <c r="AA2380" s="3"/>
      <c r="AB2380" s="3"/>
    </row>
    <row r="2381" spans="1:28" x14ac:dyDescent="0.3">
      <c r="A2381" s="2"/>
      <c r="F2381" s="3"/>
      <c r="G2381" s="3"/>
      <c r="N2381" s="3"/>
      <c r="Q2381" s="3"/>
      <c r="R2381" s="3"/>
      <c r="S2381" s="3"/>
      <c r="V2381" s="3"/>
      <c r="W2381" s="3"/>
      <c r="X2381" s="3"/>
      <c r="Y2381" s="3"/>
      <c r="Z2381" s="3"/>
      <c r="AA2381" s="3"/>
      <c r="AB2381" s="3"/>
    </row>
    <row r="2382" spans="1:28" x14ac:dyDescent="0.3">
      <c r="A2382" s="2"/>
      <c r="F2382" s="3"/>
      <c r="G2382" s="3"/>
      <c r="N2382" s="3"/>
      <c r="Q2382" s="3"/>
      <c r="R2382" s="3"/>
      <c r="S2382" s="3"/>
      <c r="V2382" s="3"/>
      <c r="W2382" s="3"/>
      <c r="X2382" s="3"/>
      <c r="Y2382" s="3"/>
      <c r="Z2382" s="3"/>
      <c r="AA2382" s="3"/>
      <c r="AB2382" s="3"/>
    </row>
    <row r="2383" spans="1:28" x14ac:dyDescent="0.3">
      <c r="A2383" s="2"/>
      <c r="F2383" s="3"/>
      <c r="G2383" s="3"/>
      <c r="N2383" s="3"/>
      <c r="Q2383" s="3"/>
      <c r="R2383" s="3"/>
      <c r="S2383" s="3"/>
      <c r="V2383" s="3"/>
      <c r="W2383" s="3"/>
      <c r="X2383" s="3"/>
      <c r="Y2383" s="3"/>
      <c r="Z2383" s="3"/>
      <c r="AA2383" s="3"/>
      <c r="AB2383" s="3"/>
    </row>
    <row r="2384" spans="1:28" x14ac:dyDescent="0.3">
      <c r="A2384" s="2"/>
      <c r="F2384" s="3"/>
      <c r="G2384" s="3"/>
      <c r="N2384" s="3"/>
      <c r="Q2384" s="3"/>
      <c r="R2384" s="3"/>
      <c r="S2384" s="3"/>
      <c r="V2384" s="3"/>
      <c r="W2384" s="3"/>
      <c r="X2384" s="3"/>
      <c r="Y2384" s="3"/>
      <c r="Z2384" s="3"/>
      <c r="AA2384" s="3"/>
      <c r="AB2384" s="3"/>
    </row>
    <row r="2385" spans="1:28" x14ac:dyDescent="0.3">
      <c r="A2385" s="2"/>
      <c r="F2385" s="3"/>
      <c r="G2385" s="3"/>
      <c r="N2385" s="3"/>
      <c r="Q2385" s="3"/>
      <c r="R2385" s="3"/>
      <c r="S2385" s="3"/>
      <c r="V2385" s="3"/>
      <c r="W2385" s="3"/>
      <c r="X2385" s="3"/>
      <c r="Y2385" s="3"/>
      <c r="Z2385" s="3"/>
      <c r="AA2385" s="3"/>
      <c r="AB2385" s="3"/>
    </row>
    <row r="2386" spans="1:28" x14ac:dyDescent="0.3">
      <c r="A2386" s="2"/>
      <c r="F2386" s="3"/>
      <c r="G2386" s="3"/>
      <c r="N2386" s="3"/>
      <c r="Q2386" s="3"/>
      <c r="R2386" s="3"/>
      <c r="S2386" s="3"/>
      <c r="V2386" s="3"/>
      <c r="W2386" s="3"/>
      <c r="X2386" s="3"/>
      <c r="Y2386" s="3"/>
      <c r="Z2386" s="3"/>
      <c r="AA2386" s="3"/>
      <c r="AB2386" s="3"/>
    </row>
    <row r="2387" spans="1:28" x14ac:dyDescent="0.3">
      <c r="A2387" s="2"/>
      <c r="F2387" s="3"/>
      <c r="G2387" s="3"/>
      <c r="N2387" s="3"/>
      <c r="Q2387" s="3"/>
      <c r="R2387" s="3"/>
      <c r="S2387" s="3"/>
      <c r="V2387" s="3"/>
      <c r="W2387" s="3"/>
      <c r="X2387" s="3"/>
      <c r="Y2387" s="3"/>
      <c r="Z2387" s="3"/>
      <c r="AA2387" s="3"/>
      <c r="AB2387" s="3"/>
    </row>
    <row r="2388" spans="1:28" x14ac:dyDescent="0.3">
      <c r="A2388" s="2"/>
      <c r="F2388" s="3"/>
      <c r="G2388" s="3"/>
      <c r="N2388" s="3"/>
      <c r="Q2388" s="3"/>
      <c r="R2388" s="3"/>
      <c r="S2388" s="3"/>
      <c r="V2388" s="3"/>
      <c r="W2388" s="3"/>
      <c r="X2388" s="3"/>
      <c r="Y2388" s="3"/>
      <c r="Z2388" s="3"/>
      <c r="AA2388" s="3"/>
      <c r="AB2388" s="3"/>
    </row>
    <row r="2389" spans="1:28" x14ac:dyDescent="0.3">
      <c r="A2389" s="2"/>
      <c r="F2389" s="3"/>
      <c r="G2389" s="3"/>
      <c r="N2389" s="3"/>
      <c r="Q2389" s="3"/>
      <c r="R2389" s="3"/>
      <c r="S2389" s="3"/>
      <c r="V2389" s="3"/>
      <c r="W2389" s="3"/>
      <c r="X2389" s="3"/>
      <c r="Y2389" s="3"/>
      <c r="Z2389" s="3"/>
      <c r="AA2389" s="3"/>
      <c r="AB2389" s="3"/>
    </row>
    <row r="2390" spans="1:28" x14ac:dyDescent="0.3">
      <c r="A2390" s="2"/>
      <c r="F2390" s="3"/>
      <c r="G2390" s="3"/>
      <c r="N2390" s="3"/>
      <c r="Q2390" s="3"/>
      <c r="R2390" s="3"/>
      <c r="S2390" s="3"/>
      <c r="V2390" s="3"/>
      <c r="W2390" s="3"/>
      <c r="X2390" s="3"/>
      <c r="Y2390" s="3"/>
      <c r="Z2390" s="3"/>
      <c r="AA2390" s="3"/>
      <c r="AB2390" s="3"/>
    </row>
    <row r="2391" spans="1:28" x14ac:dyDescent="0.3">
      <c r="A2391" s="2"/>
      <c r="F2391" s="3"/>
      <c r="G2391" s="3"/>
      <c r="N2391" s="3"/>
      <c r="Q2391" s="3"/>
      <c r="R2391" s="3"/>
      <c r="S2391" s="3"/>
      <c r="V2391" s="3"/>
      <c r="W2391" s="3"/>
      <c r="X2391" s="3"/>
      <c r="Y2391" s="3"/>
      <c r="Z2391" s="3"/>
      <c r="AA2391" s="3"/>
      <c r="AB2391" s="3"/>
    </row>
    <row r="2392" spans="1:28" x14ac:dyDescent="0.3">
      <c r="A2392" s="2"/>
      <c r="F2392" s="3"/>
      <c r="G2392" s="3"/>
      <c r="N2392" s="3"/>
      <c r="Q2392" s="3"/>
      <c r="R2392" s="3"/>
      <c r="S2392" s="3"/>
      <c r="V2392" s="3"/>
      <c r="W2392" s="3"/>
      <c r="X2392" s="3"/>
      <c r="Y2392" s="3"/>
      <c r="Z2392" s="3"/>
      <c r="AA2392" s="3"/>
      <c r="AB2392" s="3"/>
    </row>
    <row r="2393" spans="1:28" x14ac:dyDescent="0.3">
      <c r="A2393" s="2"/>
      <c r="F2393" s="3"/>
      <c r="G2393" s="3"/>
      <c r="N2393" s="3"/>
      <c r="Q2393" s="3"/>
      <c r="R2393" s="3"/>
      <c r="S2393" s="3"/>
      <c r="V2393" s="3"/>
      <c r="W2393" s="3"/>
      <c r="X2393" s="3"/>
      <c r="Y2393" s="3"/>
      <c r="Z2393" s="3"/>
      <c r="AA2393" s="3"/>
      <c r="AB2393" s="3"/>
    </row>
    <row r="2394" spans="1:28" x14ac:dyDescent="0.3">
      <c r="A2394" s="2"/>
      <c r="F2394" s="3"/>
      <c r="G2394" s="3"/>
      <c r="N2394" s="3"/>
      <c r="Q2394" s="3"/>
      <c r="R2394" s="3"/>
      <c r="S2394" s="3"/>
      <c r="V2394" s="3"/>
      <c r="W2394" s="3"/>
      <c r="X2394" s="3"/>
      <c r="Y2394" s="3"/>
      <c r="Z2394" s="3"/>
      <c r="AA2394" s="3"/>
      <c r="AB2394" s="3"/>
    </row>
    <row r="2395" spans="1:28" x14ac:dyDescent="0.3">
      <c r="A2395" s="2"/>
      <c r="F2395" s="3"/>
      <c r="G2395" s="3"/>
      <c r="N2395" s="3"/>
      <c r="Q2395" s="3"/>
      <c r="R2395" s="3"/>
      <c r="S2395" s="3"/>
      <c r="V2395" s="3"/>
      <c r="W2395" s="3"/>
      <c r="X2395" s="3"/>
      <c r="Y2395" s="3"/>
      <c r="Z2395" s="3"/>
      <c r="AA2395" s="3"/>
      <c r="AB2395" s="3"/>
    </row>
    <row r="2396" spans="1:28" x14ac:dyDescent="0.3">
      <c r="A2396" s="2"/>
      <c r="F2396" s="3"/>
      <c r="G2396" s="3"/>
      <c r="N2396" s="3"/>
      <c r="Q2396" s="3"/>
      <c r="R2396" s="3"/>
      <c r="S2396" s="3"/>
      <c r="V2396" s="3"/>
      <c r="W2396" s="3"/>
      <c r="X2396" s="3"/>
      <c r="Y2396" s="3"/>
      <c r="Z2396" s="3"/>
      <c r="AA2396" s="3"/>
      <c r="AB2396" s="3"/>
    </row>
    <row r="2397" spans="1:28" x14ac:dyDescent="0.3">
      <c r="A2397" s="2"/>
      <c r="F2397" s="3"/>
      <c r="G2397" s="3"/>
      <c r="N2397" s="3"/>
      <c r="Q2397" s="3"/>
      <c r="R2397" s="3"/>
      <c r="S2397" s="3"/>
      <c r="V2397" s="3"/>
      <c r="W2397" s="3"/>
      <c r="X2397" s="3"/>
      <c r="Y2397" s="3"/>
      <c r="Z2397" s="3"/>
      <c r="AA2397" s="3"/>
      <c r="AB2397" s="3"/>
    </row>
    <row r="2398" spans="1:28" x14ac:dyDescent="0.3">
      <c r="A2398" s="2"/>
      <c r="F2398" s="3"/>
      <c r="G2398" s="3"/>
      <c r="N2398" s="3"/>
      <c r="Q2398" s="3"/>
      <c r="R2398" s="3"/>
      <c r="S2398" s="3"/>
      <c r="V2398" s="3"/>
      <c r="W2398" s="3"/>
      <c r="X2398" s="3"/>
      <c r="Y2398" s="3"/>
      <c r="Z2398" s="3"/>
      <c r="AA2398" s="3"/>
      <c r="AB2398" s="3"/>
    </row>
    <row r="2399" spans="1:28" x14ac:dyDescent="0.3">
      <c r="A2399" s="2"/>
      <c r="F2399" s="3"/>
      <c r="G2399" s="3"/>
      <c r="N2399" s="3"/>
      <c r="Q2399" s="3"/>
      <c r="R2399" s="3"/>
      <c r="S2399" s="3"/>
      <c r="V2399" s="3"/>
      <c r="W2399" s="3"/>
      <c r="X2399" s="3"/>
      <c r="Y2399" s="3"/>
      <c r="Z2399" s="3"/>
      <c r="AA2399" s="3"/>
      <c r="AB2399" s="3"/>
    </row>
    <row r="2400" spans="1:28" x14ac:dyDescent="0.3">
      <c r="A2400" s="2"/>
      <c r="F2400" s="3"/>
      <c r="G2400" s="3"/>
      <c r="N2400" s="3"/>
      <c r="Q2400" s="3"/>
      <c r="R2400" s="3"/>
      <c r="S2400" s="3"/>
      <c r="V2400" s="3"/>
      <c r="W2400" s="3"/>
      <c r="X2400" s="3"/>
      <c r="Y2400" s="3"/>
      <c r="Z2400" s="3"/>
      <c r="AA2400" s="3"/>
      <c r="AB2400" s="3"/>
    </row>
    <row r="2401" spans="1:28" x14ac:dyDescent="0.3">
      <c r="A2401" s="2"/>
      <c r="F2401" s="3"/>
      <c r="G2401" s="3"/>
      <c r="N2401" s="3"/>
      <c r="Q2401" s="3"/>
      <c r="R2401" s="3"/>
      <c r="S2401" s="3"/>
      <c r="V2401" s="3"/>
      <c r="W2401" s="3"/>
      <c r="X2401" s="3"/>
      <c r="Y2401" s="3"/>
      <c r="Z2401" s="3"/>
      <c r="AA2401" s="3"/>
      <c r="AB2401" s="3"/>
    </row>
    <row r="2402" spans="1:28" x14ac:dyDescent="0.3">
      <c r="A2402" s="2"/>
      <c r="F2402" s="3"/>
      <c r="G2402" s="3"/>
      <c r="N2402" s="3"/>
      <c r="Q2402" s="3"/>
      <c r="R2402" s="3"/>
      <c r="S2402" s="3"/>
      <c r="V2402" s="3"/>
      <c r="W2402" s="3"/>
      <c r="X2402" s="3"/>
      <c r="Y2402" s="3"/>
      <c r="Z2402" s="3"/>
      <c r="AA2402" s="3"/>
      <c r="AB2402" s="3"/>
    </row>
    <row r="2403" spans="1:28" x14ac:dyDescent="0.3">
      <c r="A2403" s="2"/>
      <c r="F2403" s="3"/>
      <c r="G2403" s="3"/>
      <c r="N2403" s="3"/>
      <c r="Q2403" s="3"/>
      <c r="R2403" s="3"/>
      <c r="S2403" s="3"/>
      <c r="V2403" s="3"/>
      <c r="W2403" s="3"/>
      <c r="X2403" s="3"/>
      <c r="Y2403" s="3"/>
      <c r="Z2403" s="3"/>
      <c r="AA2403" s="3"/>
      <c r="AB2403" s="3"/>
    </row>
    <row r="2404" spans="1:28" x14ac:dyDescent="0.3">
      <c r="A2404" s="2"/>
      <c r="F2404" s="3"/>
      <c r="G2404" s="3"/>
      <c r="N2404" s="3"/>
      <c r="Q2404" s="3"/>
      <c r="R2404" s="3"/>
      <c r="S2404" s="3"/>
      <c r="V2404" s="3"/>
      <c r="W2404" s="3"/>
      <c r="X2404" s="3"/>
      <c r="Y2404" s="3"/>
      <c r="Z2404" s="3"/>
      <c r="AA2404" s="3"/>
      <c r="AB2404" s="3"/>
    </row>
    <row r="2405" spans="1:28" x14ac:dyDescent="0.3">
      <c r="A2405" s="2"/>
      <c r="F2405" s="3"/>
      <c r="G2405" s="3"/>
      <c r="N2405" s="3"/>
      <c r="Q2405" s="3"/>
      <c r="R2405" s="3"/>
      <c r="S2405" s="3"/>
      <c r="V2405" s="3"/>
      <c r="W2405" s="3"/>
      <c r="X2405" s="3"/>
      <c r="Y2405" s="3"/>
      <c r="Z2405" s="3"/>
      <c r="AA2405" s="3"/>
      <c r="AB2405" s="3"/>
    </row>
    <row r="2406" spans="1:28" x14ac:dyDescent="0.3">
      <c r="A2406" s="2"/>
      <c r="F2406" s="3"/>
      <c r="G2406" s="3"/>
      <c r="N2406" s="3"/>
      <c r="Q2406" s="3"/>
      <c r="R2406" s="3"/>
      <c r="S2406" s="3"/>
      <c r="V2406" s="3"/>
      <c r="W2406" s="3"/>
      <c r="X2406" s="3"/>
      <c r="Y2406" s="3"/>
      <c r="Z2406" s="3"/>
      <c r="AA2406" s="3"/>
      <c r="AB2406" s="3"/>
    </row>
    <row r="2407" spans="1:28" x14ac:dyDescent="0.3">
      <c r="A2407" s="2"/>
      <c r="F2407" s="3"/>
      <c r="G2407" s="3"/>
      <c r="N2407" s="3"/>
      <c r="Q2407" s="3"/>
      <c r="R2407" s="3"/>
      <c r="S2407" s="3"/>
      <c r="V2407" s="3"/>
      <c r="W2407" s="3"/>
      <c r="X2407" s="3"/>
      <c r="Y2407" s="3"/>
      <c r="Z2407" s="3"/>
      <c r="AA2407" s="3"/>
      <c r="AB2407" s="3"/>
    </row>
    <row r="2408" spans="1:28" x14ac:dyDescent="0.3">
      <c r="A2408" s="2"/>
      <c r="F2408" s="3"/>
      <c r="G2408" s="3"/>
      <c r="N2408" s="3"/>
      <c r="Q2408" s="3"/>
      <c r="R2408" s="3"/>
      <c r="S2408" s="3"/>
      <c r="V2408" s="3"/>
      <c r="W2408" s="3"/>
      <c r="X2408" s="3"/>
      <c r="Y2408" s="3"/>
      <c r="Z2408" s="3"/>
      <c r="AA2408" s="3"/>
      <c r="AB2408" s="3"/>
    </row>
    <row r="2409" spans="1:28" x14ac:dyDescent="0.3">
      <c r="A2409" s="2"/>
      <c r="F2409" s="3"/>
      <c r="G2409" s="3"/>
      <c r="N2409" s="3"/>
      <c r="Q2409" s="3"/>
      <c r="R2409" s="3"/>
      <c r="S2409" s="3"/>
      <c r="V2409" s="3"/>
      <c r="W2409" s="3"/>
      <c r="X2409" s="3"/>
      <c r="Y2409" s="3"/>
      <c r="Z2409" s="3"/>
      <c r="AA2409" s="3"/>
      <c r="AB2409" s="3"/>
    </row>
    <row r="2410" spans="1:28" x14ac:dyDescent="0.3">
      <c r="A2410" s="2"/>
      <c r="F2410" s="3"/>
      <c r="G2410" s="3"/>
      <c r="N2410" s="3"/>
      <c r="Q2410" s="3"/>
      <c r="R2410" s="3"/>
      <c r="S2410" s="3"/>
      <c r="V2410" s="3"/>
      <c r="W2410" s="3"/>
      <c r="X2410" s="3"/>
      <c r="Y2410" s="3"/>
      <c r="Z2410" s="3"/>
      <c r="AA2410" s="3"/>
      <c r="AB2410" s="3"/>
    </row>
    <row r="2411" spans="1:28" x14ac:dyDescent="0.3">
      <c r="A2411" s="2"/>
      <c r="F2411" s="3"/>
      <c r="G2411" s="3"/>
      <c r="N2411" s="3"/>
      <c r="Q2411" s="3"/>
      <c r="R2411" s="3"/>
      <c r="S2411" s="3"/>
      <c r="V2411" s="3"/>
      <c r="W2411" s="3"/>
      <c r="X2411" s="3"/>
      <c r="Y2411" s="3"/>
      <c r="Z2411" s="3"/>
      <c r="AA2411" s="3"/>
      <c r="AB2411" s="3"/>
    </row>
    <row r="2412" spans="1:28" x14ac:dyDescent="0.3">
      <c r="A2412" s="2"/>
      <c r="F2412" s="3"/>
      <c r="G2412" s="3"/>
      <c r="N2412" s="3"/>
      <c r="Q2412" s="3"/>
      <c r="R2412" s="3"/>
      <c r="S2412" s="3"/>
      <c r="V2412" s="3"/>
      <c r="W2412" s="3"/>
      <c r="X2412" s="3"/>
      <c r="Y2412" s="3"/>
      <c r="Z2412" s="3"/>
      <c r="AA2412" s="3"/>
      <c r="AB2412" s="3"/>
    </row>
    <row r="2413" spans="1:28" x14ac:dyDescent="0.3">
      <c r="A2413" s="2"/>
      <c r="F2413" s="3"/>
      <c r="G2413" s="3"/>
      <c r="N2413" s="3"/>
      <c r="Q2413" s="3"/>
      <c r="R2413" s="3"/>
      <c r="S2413" s="3"/>
      <c r="V2413" s="3"/>
      <c r="W2413" s="3"/>
      <c r="X2413" s="3"/>
      <c r="Y2413" s="3"/>
      <c r="Z2413" s="3"/>
      <c r="AA2413" s="3"/>
      <c r="AB2413" s="3"/>
    </row>
    <row r="2414" spans="1:28" x14ac:dyDescent="0.3">
      <c r="A2414" s="2"/>
      <c r="F2414" s="3"/>
      <c r="G2414" s="3"/>
      <c r="N2414" s="3"/>
      <c r="Q2414" s="3"/>
      <c r="R2414" s="3"/>
      <c r="S2414" s="3"/>
      <c r="V2414" s="3"/>
      <c r="W2414" s="3"/>
      <c r="X2414" s="3"/>
      <c r="Y2414" s="3"/>
      <c r="Z2414" s="3"/>
      <c r="AA2414" s="3"/>
      <c r="AB2414" s="3"/>
    </row>
    <row r="2415" spans="1:28" x14ac:dyDescent="0.3">
      <c r="A2415" s="2"/>
      <c r="F2415" s="3"/>
      <c r="G2415" s="3"/>
      <c r="N2415" s="3"/>
      <c r="Q2415" s="3"/>
      <c r="R2415" s="3"/>
      <c r="S2415" s="3"/>
      <c r="V2415" s="3"/>
      <c r="W2415" s="3"/>
      <c r="X2415" s="3"/>
      <c r="Y2415" s="3"/>
      <c r="Z2415" s="3"/>
      <c r="AA2415" s="3"/>
      <c r="AB2415" s="3"/>
    </row>
    <row r="2416" spans="1:28" x14ac:dyDescent="0.3">
      <c r="A2416" s="2"/>
      <c r="F2416" s="3"/>
      <c r="G2416" s="3"/>
      <c r="N2416" s="3"/>
      <c r="Q2416" s="3"/>
      <c r="R2416" s="3"/>
      <c r="S2416" s="3"/>
      <c r="V2416" s="3"/>
      <c r="W2416" s="3"/>
      <c r="X2416" s="3"/>
      <c r="Y2416" s="3"/>
      <c r="Z2416" s="3"/>
      <c r="AA2416" s="3"/>
      <c r="AB2416" s="3"/>
    </row>
    <row r="2417" spans="1:28" x14ac:dyDescent="0.3">
      <c r="A2417" s="2"/>
      <c r="F2417" s="3"/>
      <c r="G2417" s="3"/>
      <c r="N2417" s="3"/>
      <c r="Q2417" s="3"/>
      <c r="R2417" s="3"/>
      <c r="S2417" s="3"/>
      <c r="V2417" s="3"/>
      <c r="W2417" s="3"/>
      <c r="X2417" s="3"/>
      <c r="Y2417" s="3"/>
      <c r="Z2417" s="3"/>
      <c r="AA2417" s="3"/>
      <c r="AB2417" s="3"/>
    </row>
    <row r="2418" spans="1:28" x14ac:dyDescent="0.3">
      <c r="A2418" s="2"/>
      <c r="F2418" s="3"/>
      <c r="G2418" s="3"/>
      <c r="N2418" s="3"/>
      <c r="Q2418" s="3"/>
      <c r="R2418" s="3"/>
      <c r="S2418" s="3"/>
      <c r="V2418" s="3"/>
      <c r="W2418" s="3"/>
      <c r="X2418" s="3"/>
      <c r="Y2418" s="3"/>
      <c r="Z2418" s="3"/>
      <c r="AA2418" s="3"/>
      <c r="AB2418" s="3"/>
    </row>
    <row r="2419" spans="1:28" x14ac:dyDescent="0.3">
      <c r="A2419" s="2"/>
      <c r="F2419" s="3"/>
      <c r="G2419" s="3"/>
      <c r="N2419" s="3"/>
      <c r="Q2419" s="3"/>
      <c r="R2419" s="3"/>
      <c r="S2419" s="3"/>
      <c r="V2419" s="3"/>
      <c r="W2419" s="3"/>
      <c r="X2419" s="3"/>
      <c r="Y2419" s="3"/>
      <c r="Z2419" s="3"/>
      <c r="AA2419" s="3"/>
      <c r="AB2419" s="3"/>
    </row>
    <row r="2420" spans="1:28" x14ac:dyDescent="0.3">
      <c r="A2420" s="2"/>
      <c r="F2420" s="3"/>
      <c r="G2420" s="3"/>
      <c r="N2420" s="3"/>
      <c r="Q2420" s="3"/>
      <c r="R2420" s="3"/>
      <c r="S2420" s="3"/>
      <c r="V2420" s="3"/>
      <c r="W2420" s="3"/>
      <c r="X2420" s="3"/>
      <c r="Y2420" s="3"/>
      <c r="Z2420" s="3"/>
      <c r="AA2420" s="3"/>
      <c r="AB2420" s="3"/>
    </row>
    <row r="2421" spans="1:28" x14ac:dyDescent="0.3">
      <c r="A2421" s="2"/>
      <c r="F2421" s="3"/>
      <c r="G2421" s="3"/>
      <c r="N2421" s="3"/>
      <c r="Q2421" s="3"/>
      <c r="R2421" s="3"/>
      <c r="S2421" s="3"/>
      <c r="V2421" s="3"/>
      <c r="W2421" s="3"/>
      <c r="X2421" s="3"/>
      <c r="Y2421" s="3"/>
      <c r="Z2421" s="3"/>
      <c r="AA2421" s="3"/>
      <c r="AB2421" s="3"/>
    </row>
    <row r="2422" spans="1:28" x14ac:dyDescent="0.3">
      <c r="A2422" s="2"/>
      <c r="F2422" s="3"/>
      <c r="G2422" s="3"/>
      <c r="N2422" s="3"/>
      <c r="Q2422" s="3"/>
      <c r="R2422" s="3"/>
      <c r="S2422" s="3"/>
      <c r="V2422" s="3"/>
      <c r="W2422" s="3"/>
      <c r="X2422" s="3"/>
      <c r="Y2422" s="3"/>
      <c r="Z2422" s="3"/>
      <c r="AA2422" s="3"/>
      <c r="AB2422" s="3"/>
    </row>
    <row r="2423" spans="1:28" x14ac:dyDescent="0.3">
      <c r="A2423" s="2"/>
      <c r="F2423" s="3"/>
      <c r="G2423" s="3"/>
      <c r="N2423" s="3"/>
      <c r="Q2423" s="3"/>
      <c r="R2423" s="3"/>
      <c r="S2423" s="3"/>
      <c r="V2423" s="3"/>
      <c r="W2423" s="3"/>
      <c r="X2423" s="3"/>
      <c r="Y2423" s="3"/>
      <c r="Z2423" s="3"/>
      <c r="AA2423" s="3"/>
      <c r="AB2423" s="3"/>
    </row>
    <row r="2424" spans="1:28" x14ac:dyDescent="0.3">
      <c r="A2424" s="2"/>
      <c r="F2424" s="3"/>
      <c r="G2424" s="3"/>
      <c r="N2424" s="3"/>
      <c r="Q2424" s="3"/>
      <c r="R2424" s="3"/>
      <c r="S2424" s="3"/>
      <c r="V2424" s="3"/>
      <c r="W2424" s="3"/>
      <c r="X2424" s="3"/>
      <c r="Y2424" s="3"/>
      <c r="Z2424" s="3"/>
      <c r="AA2424" s="3"/>
      <c r="AB2424" s="3"/>
    </row>
    <row r="2425" spans="1:28" x14ac:dyDescent="0.3">
      <c r="A2425" s="2"/>
      <c r="F2425" s="3"/>
      <c r="G2425" s="3"/>
      <c r="N2425" s="3"/>
      <c r="Q2425" s="3"/>
      <c r="R2425" s="3"/>
      <c r="S2425" s="3"/>
      <c r="V2425" s="3"/>
      <c r="W2425" s="3"/>
      <c r="X2425" s="3"/>
      <c r="Y2425" s="3"/>
      <c r="Z2425" s="3"/>
      <c r="AA2425" s="3"/>
      <c r="AB2425" s="3"/>
    </row>
    <row r="2426" spans="1:28" x14ac:dyDescent="0.3">
      <c r="A2426" s="2"/>
      <c r="F2426" s="3"/>
      <c r="G2426" s="3"/>
      <c r="N2426" s="3"/>
      <c r="Q2426" s="3"/>
      <c r="R2426" s="3"/>
      <c r="S2426" s="3"/>
      <c r="V2426" s="3"/>
      <c r="W2426" s="3"/>
      <c r="X2426" s="3"/>
      <c r="Y2426" s="3"/>
      <c r="Z2426" s="3"/>
      <c r="AA2426" s="3"/>
      <c r="AB2426" s="3"/>
    </row>
    <row r="2427" spans="1:28" x14ac:dyDescent="0.3">
      <c r="A2427" s="2"/>
      <c r="F2427" s="3"/>
      <c r="G2427" s="3"/>
      <c r="N2427" s="3"/>
      <c r="Q2427" s="3"/>
      <c r="R2427" s="3"/>
      <c r="S2427" s="3"/>
      <c r="V2427" s="3"/>
      <c r="W2427" s="3"/>
      <c r="X2427" s="3"/>
      <c r="Y2427" s="3"/>
      <c r="Z2427" s="3"/>
      <c r="AA2427" s="3"/>
      <c r="AB2427" s="3"/>
    </row>
    <row r="2428" spans="1:28" x14ac:dyDescent="0.3">
      <c r="A2428" s="2"/>
      <c r="F2428" s="3"/>
      <c r="G2428" s="3"/>
      <c r="N2428" s="3"/>
      <c r="Q2428" s="3"/>
      <c r="R2428" s="3"/>
      <c r="S2428" s="3"/>
      <c r="V2428" s="3"/>
      <c r="W2428" s="3"/>
      <c r="X2428" s="3"/>
      <c r="Y2428" s="3"/>
      <c r="Z2428" s="3"/>
      <c r="AA2428" s="3"/>
      <c r="AB2428" s="3"/>
    </row>
    <row r="2429" spans="1:28" x14ac:dyDescent="0.3">
      <c r="A2429" s="2"/>
      <c r="F2429" s="3"/>
      <c r="G2429" s="3"/>
      <c r="N2429" s="3"/>
      <c r="Q2429" s="3"/>
      <c r="R2429" s="3"/>
      <c r="S2429" s="3"/>
      <c r="V2429" s="3"/>
      <c r="W2429" s="3"/>
      <c r="X2429" s="3"/>
      <c r="Y2429" s="3"/>
      <c r="Z2429" s="3"/>
      <c r="AA2429" s="3"/>
      <c r="AB2429" s="3"/>
    </row>
    <row r="2430" spans="1:28" x14ac:dyDescent="0.3">
      <c r="A2430" s="2"/>
      <c r="F2430" s="3"/>
      <c r="G2430" s="3"/>
      <c r="N2430" s="3"/>
      <c r="Q2430" s="3"/>
      <c r="R2430" s="3"/>
      <c r="S2430" s="3"/>
      <c r="V2430" s="3"/>
      <c r="W2430" s="3"/>
      <c r="X2430" s="3"/>
      <c r="Y2430" s="3"/>
      <c r="Z2430" s="3"/>
      <c r="AA2430" s="3"/>
      <c r="AB2430" s="3"/>
    </row>
    <row r="2431" spans="1:28" x14ac:dyDescent="0.3">
      <c r="A2431" s="2"/>
      <c r="F2431" s="3"/>
      <c r="G2431" s="3"/>
      <c r="N2431" s="3"/>
      <c r="Q2431" s="3"/>
      <c r="R2431" s="3"/>
      <c r="S2431" s="3"/>
      <c r="V2431" s="3"/>
      <c r="W2431" s="3"/>
      <c r="X2431" s="3"/>
      <c r="Y2431" s="3"/>
      <c r="Z2431" s="3"/>
      <c r="AA2431" s="3"/>
      <c r="AB2431" s="3"/>
    </row>
    <row r="2432" spans="1:28" x14ac:dyDescent="0.3">
      <c r="A2432" s="2"/>
      <c r="F2432" s="3"/>
      <c r="G2432" s="3"/>
      <c r="N2432" s="3"/>
      <c r="Q2432" s="3"/>
      <c r="R2432" s="3"/>
      <c r="S2432" s="3"/>
      <c r="V2432" s="3"/>
      <c r="W2432" s="3"/>
      <c r="X2432" s="3"/>
      <c r="Y2432" s="3"/>
      <c r="Z2432" s="3"/>
      <c r="AA2432" s="3"/>
      <c r="AB2432" s="3"/>
    </row>
    <row r="2433" spans="1:28" x14ac:dyDescent="0.3">
      <c r="A2433" s="2"/>
      <c r="F2433" s="3"/>
      <c r="G2433" s="3"/>
      <c r="N2433" s="3"/>
      <c r="Q2433" s="3"/>
      <c r="R2433" s="3"/>
      <c r="S2433" s="3"/>
      <c r="V2433" s="3"/>
      <c r="W2433" s="3"/>
      <c r="X2433" s="3"/>
      <c r="Y2433" s="3"/>
      <c r="Z2433" s="3"/>
      <c r="AA2433" s="3"/>
      <c r="AB2433" s="3"/>
    </row>
    <row r="2434" spans="1:28" x14ac:dyDescent="0.3">
      <c r="A2434" s="2"/>
      <c r="F2434" s="3"/>
      <c r="G2434" s="3"/>
      <c r="N2434" s="3"/>
      <c r="Q2434" s="3"/>
      <c r="R2434" s="3"/>
      <c r="S2434" s="3"/>
      <c r="V2434" s="3"/>
      <c r="W2434" s="3"/>
      <c r="X2434" s="3"/>
      <c r="Y2434" s="3"/>
      <c r="Z2434" s="3"/>
      <c r="AA2434" s="3"/>
      <c r="AB2434" s="3"/>
    </row>
    <row r="2435" spans="1:28" x14ac:dyDescent="0.3">
      <c r="A2435" s="2"/>
      <c r="F2435" s="3"/>
      <c r="G2435" s="3"/>
      <c r="N2435" s="3"/>
      <c r="Q2435" s="3"/>
      <c r="R2435" s="3"/>
      <c r="S2435" s="3"/>
      <c r="V2435" s="3"/>
      <c r="W2435" s="3"/>
      <c r="X2435" s="3"/>
      <c r="Y2435" s="3"/>
      <c r="Z2435" s="3"/>
      <c r="AA2435" s="3"/>
      <c r="AB2435" s="3"/>
    </row>
    <row r="2436" spans="1:28" x14ac:dyDescent="0.3">
      <c r="A2436" s="2"/>
      <c r="F2436" s="3"/>
      <c r="G2436" s="3"/>
      <c r="N2436" s="3"/>
      <c r="Q2436" s="3"/>
      <c r="R2436" s="3"/>
      <c r="S2436" s="3"/>
      <c r="V2436" s="3"/>
      <c r="W2436" s="3"/>
      <c r="X2436" s="3"/>
      <c r="Y2436" s="3"/>
      <c r="Z2436" s="3"/>
      <c r="AA2436" s="3"/>
      <c r="AB2436" s="3"/>
    </row>
    <row r="2437" spans="1:28" x14ac:dyDescent="0.3">
      <c r="A2437" s="2"/>
      <c r="F2437" s="3"/>
      <c r="G2437" s="3"/>
      <c r="N2437" s="3"/>
      <c r="Q2437" s="3"/>
      <c r="R2437" s="3"/>
      <c r="S2437" s="3"/>
      <c r="V2437" s="3"/>
      <c r="W2437" s="3"/>
      <c r="X2437" s="3"/>
      <c r="Y2437" s="3"/>
      <c r="Z2437" s="3"/>
      <c r="AA2437" s="3"/>
      <c r="AB2437" s="3"/>
    </row>
    <row r="2438" spans="1:28" x14ac:dyDescent="0.3">
      <c r="A2438" s="2"/>
      <c r="F2438" s="3"/>
      <c r="G2438" s="3"/>
      <c r="N2438" s="3"/>
      <c r="Q2438" s="3"/>
      <c r="R2438" s="3"/>
      <c r="S2438" s="3"/>
      <c r="V2438" s="3"/>
      <c r="W2438" s="3"/>
      <c r="X2438" s="3"/>
      <c r="Y2438" s="3"/>
      <c r="Z2438" s="3"/>
      <c r="AA2438" s="3"/>
      <c r="AB2438" s="3"/>
    </row>
    <row r="2439" spans="1:28" x14ac:dyDescent="0.3">
      <c r="A2439" s="2"/>
      <c r="F2439" s="3"/>
      <c r="G2439" s="3"/>
      <c r="N2439" s="3"/>
      <c r="Q2439" s="3"/>
      <c r="R2439" s="3"/>
      <c r="S2439" s="3"/>
      <c r="V2439" s="3"/>
      <c r="W2439" s="3"/>
      <c r="X2439" s="3"/>
      <c r="Y2439" s="3"/>
      <c r="Z2439" s="3"/>
      <c r="AA2439" s="3"/>
      <c r="AB2439" s="3"/>
    </row>
    <row r="2440" spans="1:28" x14ac:dyDescent="0.3">
      <c r="A2440" s="2"/>
      <c r="F2440" s="3"/>
      <c r="G2440" s="3"/>
      <c r="N2440" s="3"/>
      <c r="Q2440" s="3"/>
      <c r="R2440" s="3"/>
      <c r="S2440" s="3"/>
      <c r="V2440" s="3"/>
      <c r="W2440" s="3"/>
      <c r="X2440" s="3"/>
      <c r="Y2440" s="3"/>
      <c r="Z2440" s="3"/>
      <c r="AA2440" s="3"/>
      <c r="AB2440" s="3"/>
    </row>
    <row r="2441" spans="1:28" x14ac:dyDescent="0.3">
      <c r="A2441" s="2"/>
      <c r="F2441" s="3"/>
      <c r="G2441" s="3"/>
      <c r="N2441" s="3"/>
      <c r="Q2441" s="3"/>
      <c r="R2441" s="3"/>
      <c r="S2441" s="3"/>
      <c r="V2441" s="3"/>
      <c r="W2441" s="3"/>
      <c r="X2441" s="3"/>
      <c r="Y2441" s="3"/>
      <c r="Z2441" s="3"/>
      <c r="AA2441" s="3"/>
      <c r="AB2441" s="3"/>
    </row>
    <row r="2442" spans="1:28" x14ac:dyDescent="0.3">
      <c r="A2442" s="2"/>
      <c r="F2442" s="3"/>
      <c r="G2442" s="3"/>
      <c r="N2442" s="3"/>
      <c r="Q2442" s="3"/>
      <c r="R2442" s="3"/>
      <c r="S2442" s="3"/>
      <c r="V2442" s="3"/>
      <c r="W2442" s="3"/>
      <c r="X2442" s="3"/>
      <c r="Y2442" s="3"/>
      <c r="Z2442" s="3"/>
      <c r="AA2442" s="3"/>
      <c r="AB2442" s="3"/>
    </row>
    <row r="2443" spans="1:28" x14ac:dyDescent="0.3">
      <c r="A2443" s="2"/>
      <c r="F2443" s="3"/>
      <c r="G2443" s="3"/>
      <c r="N2443" s="3"/>
      <c r="Q2443" s="3"/>
      <c r="R2443" s="3"/>
      <c r="S2443" s="3"/>
      <c r="V2443" s="3"/>
      <c r="W2443" s="3"/>
      <c r="X2443" s="3"/>
      <c r="Y2443" s="3"/>
      <c r="Z2443" s="3"/>
      <c r="AA2443" s="3"/>
      <c r="AB2443" s="3"/>
    </row>
    <row r="2444" spans="1:28" x14ac:dyDescent="0.3">
      <c r="A2444" s="2"/>
      <c r="F2444" s="3"/>
      <c r="G2444" s="3"/>
      <c r="N2444" s="3"/>
      <c r="Q2444" s="3"/>
      <c r="R2444" s="3"/>
      <c r="S2444" s="3"/>
      <c r="V2444" s="3"/>
      <c r="W2444" s="3"/>
      <c r="X2444" s="3"/>
      <c r="Y2444" s="3"/>
      <c r="Z2444" s="3"/>
      <c r="AA2444" s="3"/>
      <c r="AB2444" s="3"/>
    </row>
    <row r="2445" spans="1:28" x14ac:dyDescent="0.3">
      <c r="A2445" s="2"/>
      <c r="F2445" s="3"/>
      <c r="G2445" s="3"/>
      <c r="N2445" s="3"/>
      <c r="Q2445" s="3"/>
      <c r="R2445" s="3"/>
      <c r="S2445" s="3"/>
      <c r="V2445" s="3"/>
      <c r="W2445" s="3"/>
      <c r="X2445" s="3"/>
      <c r="Y2445" s="3"/>
      <c r="Z2445" s="3"/>
      <c r="AA2445" s="3"/>
      <c r="AB2445" s="3"/>
    </row>
    <row r="2446" spans="1:28" x14ac:dyDescent="0.3">
      <c r="A2446" s="2"/>
      <c r="F2446" s="3"/>
      <c r="G2446" s="3"/>
      <c r="N2446" s="3"/>
      <c r="Q2446" s="3"/>
      <c r="R2446" s="3"/>
      <c r="S2446" s="3"/>
      <c r="V2446" s="3"/>
      <c r="W2446" s="3"/>
      <c r="X2446" s="3"/>
      <c r="Y2446" s="3"/>
      <c r="Z2446" s="3"/>
      <c r="AA2446" s="3"/>
      <c r="AB2446" s="3"/>
    </row>
    <row r="2447" spans="1:28" x14ac:dyDescent="0.3">
      <c r="A2447" s="2"/>
      <c r="F2447" s="3"/>
      <c r="G2447" s="3"/>
      <c r="N2447" s="3"/>
      <c r="Q2447" s="3"/>
      <c r="R2447" s="3"/>
      <c r="S2447" s="3"/>
      <c r="V2447" s="3"/>
      <c r="W2447" s="3"/>
      <c r="X2447" s="3"/>
      <c r="Y2447" s="3"/>
      <c r="Z2447" s="3"/>
      <c r="AA2447" s="3"/>
      <c r="AB2447" s="3"/>
    </row>
    <row r="2448" spans="1:28" x14ac:dyDescent="0.3">
      <c r="A2448" s="2"/>
      <c r="F2448" s="3"/>
      <c r="G2448" s="3"/>
      <c r="N2448" s="3"/>
      <c r="Q2448" s="3"/>
      <c r="R2448" s="3"/>
      <c r="S2448" s="3"/>
      <c r="V2448" s="3"/>
      <c r="W2448" s="3"/>
      <c r="X2448" s="3"/>
      <c r="Y2448" s="3"/>
      <c r="Z2448" s="3"/>
      <c r="AA2448" s="3"/>
      <c r="AB2448" s="3"/>
    </row>
    <row r="2449" spans="1:28" x14ac:dyDescent="0.3">
      <c r="A2449" s="2"/>
      <c r="F2449" s="3"/>
      <c r="G2449" s="3"/>
      <c r="N2449" s="3"/>
      <c r="Q2449" s="3"/>
      <c r="R2449" s="3"/>
      <c r="S2449" s="3"/>
      <c r="V2449" s="3"/>
      <c r="W2449" s="3"/>
      <c r="X2449" s="3"/>
      <c r="Y2449" s="3"/>
      <c r="Z2449" s="3"/>
      <c r="AA2449" s="3"/>
      <c r="AB2449" s="3"/>
    </row>
    <row r="2450" spans="1:28" x14ac:dyDescent="0.3">
      <c r="A2450" s="2"/>
      <c r="F2450" s="3"/>
      <c r="G2450" s="3"/>
      <c r="N2450" s="3"/>
      <c r="Q2450" s="3"/>
      <c r="R2450" s="3"/>
      <c r="S2450" s="3"/>
      <c r="V2450" s="3"/>
      <c r="W2450" s="3"/>
      <c r="X2450" s="3"/>
      <c r="Y2450" s="3"/>
      <c r="Z2450" s="3"/>
      <c r="AA2450" s="3"/>
      <c r="AB2450" s="3"/>
    </row>
    <row r="2451" spans="1:28" x14ac:dyDescent="0.3">
      <c r="A2451" s="2"/>
      <c r="F2451" s="3"/>
      <c r="G2451" s="3"/>
      <c r="N2451" s="3"/>
      <c r="Q2451" s="3"/>
      <c r="R2451" s="3"/>
      <c r="S2451" s="3"/>
      <c r="V2451" s="3"/>
      <c r="W2451" s="3"/>
      <c r="X2451" s="3"/>
      <c r="Y2451" s="3"/>
      <c r="Z2451" s="3"/>
      <c r="AA2451" s="3"/>
      <c r="AB2451" s="3"/>
    </row>
    <row r="2452" spans="1:28" x14ac:dyDescent="0.3">
      <c r="A2452" s="2"/>
      <c r="F2452" s="3"/>
      <c r="G2452" s="3"/>
      <c r="N2452" s="3"/>
      <c r="Q2452" s="3"/>
      <c r="R2452" s="3"/>
      <c r="S2452" s="3"/>
      <c r="V2452" s="3"/>
      <c r="W2452" s="3"/>
      <c r="X2452" s="3"/>
      <c r="Y2452" s="3"/>
      <c r="Z2452" s="3"/>
      <c r="AA2452" s="3"/>
      <c r="AB2452" s="3"/>
    </row>
    <row r="2453" spans="1:28" x14ac:dyDescent="0.3">
      <c r="A2453" s="2"/>
      <c r="F2453" s="3"/>
      <c r="G2453" s="3"/>
      <c r="N2453" s="3"/>
      <c r="Q2453" s="3"/>
      <c r="R2453" s="3"/>
      <c r="S2453" s="3"/>
      <c r="V2453" s="3"/>
      <c r="W2453" s="3"/>
      <c r="X2453" s="3"/>
      <c r="Y2453" s="3"/>
      <c r="Z2453" s="3"/>
      <c r="AA2453" s="3"/>
      <c r="AB2453" s="3"/>
    </row>
    <row r="2454" spans="1:28" x14ac:dyDescent="0.3">
      <c r="A2454" s="2"/>
      <c r="F2454" s="3"/>
      <c r="G2454" s="3"/>
      <c r="N2454" s="3"/>
      <c r="Q2454" s="3"/>
      <c r="R2454" s="3"/>
      <c r="S2454" s="3"/>
      <c r="V2454" s="3"/>
      <c r="W2454" s="3"/>
      <c r="X2454" s="3"/>
      <c r="Y2454" s="3"/>
      <c r="Z2454" s="3"/>
      <c r="AA2454" s="3"/>
      <c r="AB2454" s="3"/>
    </row>
    <row r="2455" spans="1:28" x14ac:dyDescent="0.3">
      <c r="A2455" s="2"/>
      <c r="F2455" s="3"/>
      <c r="G2455" s="3"/>
      <c r="N2455" s="3"/>
      <c r="Q2455" s="3"/>
      <c r="R2455" s="3"/>
      <c r="S2455" s="3"/>
      <c r="V2455" s="3"/>
      <c r="W2455" s="3"/>
      <c r="X2455" s="3"/>
      <c r="Y2455" s="3"/>
      <c r="Z2455" s="3"/>
      <c r="AA2455" s="3"/>
      <c r="AB2455" s="3"/>
    </row>
    <row r="2456" spans="1:28" x14ac:dyDescent="0.3">
      <c r="A2456" s="2"/>
      <c r="F2456" s="3"/>
      <c r="G2456" s="3"/>
      <c r="N2456" s="3"/>
      <c r="Q2456" s="3"/>
      <c r="R2456" s="3"/>
      <c r="S2456" s="3"/>
      <c r="V2456" s="3"/>
      <c r="W2456" s="3"/>
      <c r="X2456" s="3"/>
      <c r="Y2456" s="3"/>
      <c r="Z2456" s="3"/>
      <c r="AA2456" s="3"/>
      <c r="AB2456" s="3"/>
    </row>
    <row r="2457" spans="1:28" x14ac:dyDescent="0.3">
      <c r="A2457" s="2"/>
      <c r="F2457" s="3"/>
      <c r="G2457" s="3"/>
      <c r="N2457" s="3"/>
      <c r="Q2457" s="3"/>
      <c r="R2457" s="3"/>
      <c r="S2457" s="3"/>
      <c r="V2457" s="3"/>
      <c r="W2457" s="3"/>
      <c r="X2457" s="3"/>
      <c r="Y2457" s="3"/>
      <c r="Z2457" s="3"/>
      <c r="AA2457" s="3"/>
      <c r="AB2457" s="3"/>
    </row>
    <row r="2458" spans="1:28" x14ac:dyDescent="0.3">
      <c r="A2458" s="2"/>
      <c r="F2458" s="3"/>
      <c r="G2458" s="3"/>
      <c r="N2458" s="3"/>
      <c r="Q2458" s="3"/>
      <c r="R2458" s="3"/>
      <c r="S2458" s="3"/>
      <c r="V2458" s="3"/>
      <c r="W2458" s="3"/>
      <c r="X2458" s="3"/>
      <c r="Y2458" s="3"/>
      <c r="Z2458" s="3"/>
      <c r="AA2458" s="3"/>
      <c r="AB2458" s="3"/>
    </row>
    <row r="2459" spans="1:28" x14ac:dyDescent="0.3">
      <c r="A2459" s="2"/>
      <c r="F2459" s="3"/>
      <c r="G2459" s="3"/>
      <c r="N2459" s="3"/>
      <c r="Q2459" s="3"/>
      <c r="R2459" s="3"/>
      <c r="S2459" s="3"/>
      <c r="V2459" s="3"/>
      <c r="W2459" s="3"/>
      <c r="X2459" s="3"/>
      <c r="Y2459" s="3"/>
      <c r="Z2459" s="3"/>
      <c r="AA2459" s="3"/>
      <c r="AB2459" s="3"/>
    </row>
    <row r="2460" spans="1:28" x14ac:dyDescent="0.3">
      <c r="A2460" s="2"/>
      <c r="F2460" s="3"/>
      <c r="G2460" s="3"/>
      <c r="N2460" s="3"/>
      <c r="Q2460" s="3"/>
      <c r="R2460" s="3"/>
      <c r="S2460" s="3"/>
      <c r="V2460" s="3"/>
      <c r="W2460" s="3"/>
      <c r="X2460" s="3"/>
      <c r="Y2460" s="3"/>
      <c r="Z2460" s="3"/>
      <c r="AA2460" s="3"/>
      <c r="AB2460" s="3"/>
    </row>
    <row r="2461" spans="1:28" x14ac:dyDescent="0.3">
      <c r="A2461" s="2"/>
      <c r="F2461" s="3"/>
      <c r="G2461" s="3"/>
      <c r="N2461" s="3"/>
      <c r="Q2461" s="3"/>
      <c r="R2461" s="3"/>
      <c r="S2461" s="3"/>
      <c r="V2461" s="3"/>
      <c r="W2461" s="3"/>
      <c r="X2461" s="3"/>
      <c r="Y2461" s="3"/>
      <c r="Z2461" s="3"/>
      <c r="AA2461" s="3"/>
      <c r="AB2461" s="3"/>
    </row>
    <row r="2462" spans="1:28" x14ac:dyDescent="0.3">
      <c r="A2462" s="2"/>
      <c r="F2462" s="3"/>
      <c r="G2462" s="3"/>
      <c r="N2462" s="3"/>
      <c r="Q2462" s="3"/>
      <c r="R2462" s="3"/>
      <c r="S2462" s="3"/>
      <c r="V2462" s="3"/>
      <c r="W2462" s="3"/>
      <c r="X2462" s="3"/>
      <c r="Y2462" s="3"/>
      <c r="Z2462" s="3"/>
      <c r="AA2462" s="3"/>
      <c r="AB2462" s="3"/>
    </row>
    <row r="2463" spans="1:28" x14ac:dyDescent="0.3">
      <c r="A2463" s="2"/>
      <c r="F2463" s="3"/>
      <c r="G2463" s="3"/>
      <c r="N2463" s="3"/>
      <c r="Q2463" s="3"/>
      <c r="R2463" s="3"/>
      <c r="S2463" s="3"/>
      <c r="V2463" s="3"/>
      <c r="W2463" s="3"/>
      <c r="X2463" s="3"/>
      <c r="Y2463" s="3"/>
      <c r="Z2463" s="3"/>
      <c r="AA2463" s="3"/>
      <c r="AB2463" s="3"/>
    </row>
    <row r="2464" spans="1:28" x14ac:dyDescent="0.3">
      <c r="A2464" s="2"/>
      <c r="F2464" s="3"/>
      <c r="G2464" s="3"/>
      <c r="N2464" s="3"/>
      <c r="Q2464" s="3"/>
      <c r="R2464" s="3"/>
      <c r="S2464" s="3"/>
      <c r="V2464" s="3"/>
      <c r="W2464" s="3"/>
      <c r="X2464" s="3"/>
      <c r="Y2464" s="3"/>
      <c r="Z2464" s="3"/>
      <c r="AA2464" s="3"/>
      <c r="AB2464" s="3"/>
    </row>
    <row r="2465" spans="1:28" x14ac:dyDescent="0.3">
      <c r="A2465" s="2"/>
      <c r="F2465" s="3"/>
      <c r="G2465" s="3"/>
      <c r="N2465" s="3"/>
      <c r="Q2465" s="3"/>
      <c r="R2465" s="3"/>
      <c r="S2465" s="3"/>
      <c r="V2465" s="3"/>
      <c r="W2465" s="3"/>
      <c r="X2465" s="3"/>
      <c r="Y2465" s="3"/>
      <c r="Z2465" s="3"/>
      <c r="AA2465" s="3"/>
      <c r="AB2465" s="3"/>
    </row>
    <row r="2466" spans="1:28" x14ac:dyDescent="0.3">
      <c r="A2466" s="2"/>
      <c r="F2466" s="3"/>
      <c r="G2466" s="3"/>
      <c r="N2466" s="3"/>
      <c r="Q2466" s="3"/>
      <c r="R2466" s="3"/>
      <c r="S2466" s="3"/>
      <c r="V2466" s="3"/>
      <c r="W2466" s="3"/>
      <c r="X2466" s="3"/>
      <c r="Y2466" s="3"/>
      <c r="Z2466" s="3"/>
      <c r="AA2466" s="3"/>
      <c r="AB2466" s="3"/>
    </row>
    <row r="2467" spans="1:28" x14ac:dyDescent="0.3">
      <c r="A2467" s="2"/>
      <c r="F2467" s="3"/>
      <c r="G2467" s="3"/>
      <c r="N2467" s="3"/>
      <c r="Q2467" s="3"/>
      <c r="R2467" s="3"/>
      <c r="S2467" s="3"/>
      <c r="V2467" s="3"/>
      <c r="W2467" s="3"/>
      <c r="X2467" s="3"/>
      <c r="Y2467" s="3"/>
      <c r="Z2467" s="3"/>
      <c r="AA2467" s="3"/>
      <c r="AB2467" s="3"/>
    </row>
    <row r="2468" spans="1:28" x14ac:dyDescent="0.3">
      <c r="A2468" s="2"/>
      <c r="F2468" s="3"/>
      <c r="G2468" s="3"/>
      <c r="N2468" s="3"/>
      <c r="Q2468" s="3"/>
      <c r="R2468" s="3"/>
      <c r="S2468" s="3"/>
      <c r="V2468" s="3"/>
      <c r="W2468" s="3"/>
      <c r="X2468" s="3"/>
      <c r="Y2468" s="3"/>
      <c r="Z2468" s="3"/>
      <c r="AA2468" s="3"/>
      <c r="AB2468" s="3"/>
    </row>
    <row r="2469" spans="1:28" x14ac:dyDescent="0.3">
      <c r="A2469" s="2"/>
      <c r="F2469" s="3"/>
      <c r="G2469" s="3"/>
      <c r="N2469" s="3"/>
      <c r="Q2469" s="3"/>
      <c r="R2469" s="3"/>
      <c r="S2469" s="3"/>
      <c r="V2469" s="3"/>
      <c r="W2469" s="3"/>
      <c r="X2469" s="3"/>
      <c r="Y2469" s="3"/>
      <c r="Z2469" s="3"/>
      <c r="AA2469" s="3"/>
      <c r="AB2469" s="3"/>
    </row>
    <row r="2470" spans="1:28" x14ac:dyDescent="0.3">
      <c r="A2470" s="2"/>
      <c r="F2470" s="3"/>
      <c r="G2470" s="3"/>
      <c r="N2470" s="3"/>
      <c r="Q2470" s="3"/>
      <c r="R2470" s="3"/>
      <c r="S2470" s="3"/>
      <c r="V2470" s="3"/>
      <c r="W2470" s="3"/>
      <c r="X2470" s="3"/>
      <c r="Y2470" s="3"/>
      <c r="Z2470" s="3"/>
      <c r="AA2470" s="3"/>
      <c r="AB2470" s="3"/>
    </row>
    <row r="2471" spans="1:28" x14ac:dyDescent="0.3">
      <c r="A2471" s="2"/>
      <c r="F2471" s="3"/>
      <c r="G2471" s="3"/>
      <c r="N2471" s="3"/>
      <c r="Q2471" s="3"/>
      <c r="R2471" s="3"/>
      <c r="S2471" s="3"/>
      <c r="V2471" s="3"/>
      <c r="W2471" s="3"/>
      <c r="X2471" s="3"/>
      <c r="Y2471" s="3"/>
      <c r="Z2471" s="3"/>
      <c r="AA2471" s="3"/>
      <c r="AB2471" s="3"/>
    </row>
    <row r="2472" spans="1:28" x14ac:dyDescent="0.3">
      <c r="A2472" s="2"/>
      <c r="F2472" s="3"/>
      <c r="G2472" s="3"/>
      <c r="N2472" s="3"/>
      <c r="Q2472" s="3"/>
      <c r="R2472" s="3"/>
      <c r="S2472" s="3"/>
      <c r="V2472" s="3"/>
      <c r="W2472" s="3"/>
      <c r="X2472" s="3"/>
      <c r="Y2472" s="3"/>
      <c r="Z2472" s="3"/>
      <c r="AA2472" s="3"/>
      <c r="AB2472" s="3"/>
    </row>
    <row r="2473" spans="1:28" x14ac:dyDescent="0.3">
      <c r="A2473" s="2"/>
      <c r="F2473" s="3"/>
      <c r="G2473" s="3"/>
      <c r="N2473" s="3"/>
      <c r="Q2473" s="3"/>
      <c r="R2473" s="3"/>
      <c r="S2473" s="3"/>
      <c r="V2473" s="3"/>
      <c r="W2473" s="3"/>
      <c r="X2473" s="3"/>
      <c r="Y2473" s="3"/>
      <c r="Z2473" s="3"/>
      <c r="AA2473" s="3"/>
      <c r="AB2473" s="3"/>
    </row>
    <row r="2474" spans="1:28" x14ac:dyDescent="0.3">
      <c r="A2474" s="2"/>
      <c r="F2474" s="3"/>
      <c r="G2474" s="3"/>
      <c r="N2474" s="3"/>
      <c r="Q2474" s="3"/>
      <c r="R2474" s="3"/>
      <c r="S2474" s="3"/>
      <c r="V2474" s="3"/>
      <c r="W2474" s="3"/>
      <c r="X2474" s="3"/>
      <c r="Y2474" s="3"/>
      <c r="Z2474" s="3"/>
      <c r="AA2474" s="3"/>
      <c r="AB2474" s="3"/>
    </row>
    <row r="2475" spans="1:28" x14ac:dyDescent="0.3">
      <c r="A2475" s="2"/>
      <c r="F2475" s="3"/>
      <c r="G2475" s="3"/>
      <c r="N2475" s="3"/>
      <c r="Q2475" s="3"/>
      <c r="R2475" s="3"/>
      <c r="S2475" s="3"/>
      <c r="V2475" s="3"/>
      <c r="W2475" s="3"/>
      <c r="X2475" s="3"/>
      <c r="Y2475" s="3"/>
      <c r="Z2475" s="3"/>
      <c r="AA2475" s="3"/>
      <c r="AB2475" s="3"/>
    </row>
    <row r="2476" spans="1:28" x14ac:dyDescent="0.3">
      <c r="A2476" s="2"/>
      <c r="F2476" s="3"/>
      <c r="G2476" s="3"/>
      <c r="N2476" s="3"/>
      <c r="Q2476" s="3"/>
      <c r="R2476" s="3"/>
      <c r="S2476" s="3"/>
      <c r="V2476" s="3"/>
      <c r="W2476" s="3"/>
      <c r="X2476" s="3"/>
      <c r="Y2476" s="3"/>
      <c r="Z2476" s="3"/>
      <c r="AA2476" s="3"/>
      <c r="AB2476" s="3"/>
    </row>
    <row r="2477" spans="1:28" x14ac:dyDescent="0.3">
      <c r="A2477" s="2"/>
      <c r="F2477" s="3"/>
      <c r="G2477" s="3"/>
      <c r="N2477" s="3"/>
      <c r="Q2477" s="3"/>
      <c r="R2477" s="3"/>
      <c r="S2477" s="3"/>
      <c r="V2477" s="3"/>
      <c r="W2477" s="3"/>
      <c r="X2477" s="3"/>
      <c r="Y2477" s="3"/>
      <c r="Z2477" s="3"/>
      <c r="AA2477" s="3"/>
      <c r="AB2477" s="3"/>
    </row>
    <row r="2478" spans="1:28" x14ac:dyDescent="0.3">
      <c r="A2478" s="2"/>
      <c r="F2478" s="3"/>
      <c r="G2478" s="3"/>
      <c r="N2478" s="3"/>
      <c r="Q2478" s="3"/>
      <c r="R2478" s="3"/>
      <c r="S2478" s="3"/>
      <c r="V2478" s="3"/>
      <c r="W2478" s="3"/>
      <c r="X2478" s="3"/>
      <c r="Y2478" s="3"/>
      <c r="Z2478" s="3"/>
      <c r="AA2478" s="3"/>
      <c r="AB2478" s="3"/>
    </row>
    <row r="2479" spans="1:28" x14ac:dyDescent="0.3">
      <c r="A2479" s="2"/>
      <c r="F2479" s="3"/>
      <c r="G2479" s="3"/>
      <c r="N2479" s="3"/>
      <c r="Q2479" s="3"/>
      <c r="R2479" s="3"/>
      <c r="S2479" s="3"/>
      <c r="V2479" s="3"/>
      <c r="W2479" s="3"/>
      <c r="X2479" s="3"/>
      <c r="Y2479" s="3"/>
      <c r="Z2479" s="3"/>
      <c r="AA2479" s="3"/>
      <c r="AB2479" s="3"/>
    </row>
    <row r="2480" spans="1:28" x14ac:dyDescent="0.3">
      <c r="A2480" s="2"/>
      <c r="F2480" s="3"/>
      <c r="G2480" s="3"/>
      <c r="N2480" s="3"/>
      <c r="Q2480" s="3"/>
      <c r="R2480" s="3"/>
      <c r="S2480" s="3"/>
      <c r="V2480" s="3"/>
      <c r="W2480" s="3"/>
      <c r="X2480" s="3"/>
      <c r="Y2480" s="3"/>
      <c r="Z2480" s="3"/>
      <c r="AA2480" s="3"/>
      <c r="AB2480" s="3"/>
    </row>
    <row r="2481" spans="1:28" x14ac:dyDescent="0.3">
      <c r="A2481" s="2"/>
      <c r="F2481" s="3"/>
      <c r="G2481" s="3"/>
      <c r="N2481" s="3"/>
      <c r="Q2481" s="3"/>
      <c r="R2481" s="3"/>
      <c r="S2481" s="3"/>
      <c r="V2481" s="3"/>
      <c r="W2481" s="3"/>
      <c r="X2481" s="3"/>
      <c r="Y2481" s="3"/>
      <c r="Z2481" s="3"/>
      <c r="AA2481" s="3"/>
      <c r="AB2481" s="3"/>
    </row>
    <row r="2482" spans="1:28" x14ac:dyDescent="0.3">
      <c r="A2482" s="2"/>
      <c r="F2482" s="3"/>
      <c r="G2482" s="3"/>
      <c r="N2482" s="3"/>
      <c r="Q2482" s="3"/>
      <c r="R2482" s="3"/>
      <c r="S2482" s="3"/>
      <c r="V2482" s="3"/>
      <c r="W2482" s="3"/>
      <c r="X2482" s="3"/>
      <c r="Y2482" s="3"/>
      <c r="Z2482" s="3"/>
      <c r="AA2482" s="3"/>
      <c r="AB2482" s="3"/>
    </row>
    <row r="2483" spans="1:28" x14ac:dyDescent="0.3">
      <c r="A2483" s="2"/>
      <c r="F2483" s="3"/>
      <c r="G2483" s="3"/>
      <c r="N2483" s="3"/>
      <c r="Q2483" s="3"/>
      <c r="R2483" s="3"/>
      <c r="S2483" s="3"/>
      <c r="V2483" s="3"/>
      <c r="W2483" s="3"/>
      <c r="X2483" s="3"/>
      <c r="Y2483" s="3"/>
      <c r="Z2483" s="3"/>
      <c r="AA2483" s="3"/>
      <c r="AB2483" s="3"/>
    </row>
    <row r="2484" spans="1:28" x14ac:dyDescent="0.3">
      <c r="A2484" s="2"/>
      <c r="F2484" s="3"/>
      <c r="G2484" s="3"/>
      <c r="N2484" s="3"/>
      <c r="Q2484" s="3"/>
      <c r="R2484" s="3"/>
      <c r="S2484" s="3"/>
      <c r="V2484" s="3"/>
      <c r="W2484" s="3"/>
      <c r="X2484" s="3"/>
      <c r="Y2484" s="3"/>
      <c r="Z2484" s="3"/>
      <c r="AA2484" s="3"/>
      <c r="AB2484" s="3"/>
    </row>
    <row r="2485" spans="1:28" x14ac:dyDescent="0.3">
      <c r="A2485" s="2"/>
      <c r="F2485" s="3"/>
      <c r="G2485" s="3"/>
      <c r="N2485" s="3"/>
      <c r="Q2485" s="3"/>
      <c r="R2485" s="3"/>
      <c r="S2485" s="3"/>
      <c r="V2485" s="3"/>
      <c r="W2485" s="3"/>
      <c r="X2485" s="3"/>
      <c r="Y2485" s="3"/>
      <c r="Z2485" s="3"/>
      <c r="AA2485" s="3"/>
      <c r="AB2485" s="3"/>
    </row>
    <row r="2486" spans="1:28" x14ac:dyDescent="0.3">
      <c r="A2486" s="2"/>
      <c r="F2486" s="3"/>
      <c r="G2486" s="3"/>
      <c r="N2486" s="3"/>
      <c r="Q2486" s="3"/>
      <c r="R2486" s="3"/>
      <c r="S2486" s="3"/>
      <c r="V2486" s="3"/>
      <c r="W2486" s="3"/>
      <c r="X2486" s="3"/>
      <c r="Y2486" s="3"/>
      <c r="Z2486" s="3"/>
      <c r="AA2486" s="3"/>
      <c r="AB2486" s="3"/>
    </row>
    <row r="2487" spans="1:28" x14ac:dyDescent="0.3">
      <c r="A2487" s="2"/>
      <c r="F2487" s="3"/>
      <c r="G2487" s="3"/>
      <c r="N2487" s="3"/>
      <c r="Q2487" s="3"/>
      <c r="R2487" s="3"/>
      <c r="S2487" s="3"/>
      <c r="V2487" s="3"/>
      <c r="W2487" s="3"/>
      <c r="X2487" s="3"/>
      <c r="Y2487" s="3"/>
      <c r="Z2487" s="3"/>
      <c r="AA2487" s="3"/>
      <c r="AB2487" s="3"/>
    </row>
    <row r="2488" spans="1:28" x14ac:dyDescent="0.3">
      <c r="A2488" s="2"/>
      <c r="F2488" s="3"/>
      <c r="G2488" s="3"/>
      <c r="N2488" s="3"/>
      <c r="Q2488" s="3"/>
      <c r="R2488" s="3"/>
      <c r="S2488" s="3"/>
      <c r="V2488" s="3"/>
      <c r="W2488" s="3"/>
      <c r="X2488" s="3"/>
      <c r="Y2488" s="3"/>
      <c r="Z2488" s="3"/>
      <c r="AA2488" s="3"/>
      <c r="AB2488" s="3"/>
    </row>
    <row r="2489" spans="1:28" x14ac:dyDescent="0.3">
      <c r="A2489" s="2"/>
      <c r="F2489" s="3"/>
      <c r="G2489" s="3"/>
      <c r="N2489" s="3"/>
      <c r="Q2489" s="3"/>
      <c r="R2489" s="3"/>
      <c r="S2489" s="3"/>
      <c r="V2489" s="3"/>
      <c r="W2489" s="3"/>
      <c r="X2489" s="3"/>
      <c r="Y2489" s="3"/>
      <c r="Z2489" s="3"/>
      <c r="AA2489" s="3"/>
      <c r="AB2489" s="3"/>
    </row>
    <row r="2490" spans="1:28" x14ac:dyDescent="0.3">
      <c r="A2490" s="2"/>
      <c r="F2490" s="3"/>
      <c r="G2490" s="3"/>
      <c r="N2490" s="3"/>
      <c r="Q2490" s="3"/>
      <c r="R2490" s="3"/>
      <c r="S2490" s="3"/>
      <c r="V2490" s="3"/>
      <c r="W2490" s="3"/>
      <c r="X2490" s="3"/>
      <c r="Y2490" s="3"/>
      <c r="Z2490" s="3"/>
      <c r="AA2490" s="3"/>
      <c r="AB2490" s="3"/>
    </row>
    <row r="2491" spans="1:28" x14ac:dyDescent="0.3">
      <c r="A2491" s="2"/>
      <c r="F2491" s="3"/>
      <c r="G2491" s="3"/>
      <c r="N2491" s="3"/>
      <c r="Q2491" s="3"/>
      <c r="R2491" s="3"/>
      <c r="S2491" s="3"/>
      <c r="V2491" s="3"/>
      <c r="W2491" s="3"/>
      <c r="X2491" s="3"/>
      <c r="Y2491" s="3"/>
      <c r="Z2491" s="3"/>
      <c r="AA2491" s="3"/>
      <c r="AB2491" s="3"/>
    </row>
    <row r="2492" spans="1:28" x14ac:dyDescent="0.3">
      <c r="A2492" s="2"/>
      <c r="F2492" s="3"/>
      <c r="G2492" s="3"/>
      <c r="N2492" s="3"/>
      <c r="Q2492" s="3"/>
      <c r="R2492" s="3"/>
      <c r="S2492" s="3"/>
      <c r="V2492" s="3"/>
      <c r="W2492" s="3"/>
      <c r="X2492" s="3"/>
      <c r="Y2492" s="3"/>
      <c r="Z2492" s="3"/>
      <c r="AA2492" s="3"/>
      <c r="AB2492" s="3"/>
    </row>
    <row r="2493" spans="1:28" x14ac:dyDescent="0.3">
      <c r="A2493" s="2"/>
      <c r="F2493" s="3"/>
      <c r="G2493" s="3"/>
      <c r="N2493" s="3"/>
      <c r="Q2493" s="3"/>
      <c r="R2493" s="3"/>
      <c r="S2493" s="3"/>
      <c r="V2493" s="3"/>
      <c r="W2493" s="3"/>
      <c r="X2493" s="3"/>
      <c r="Y2493" s="3"/>
      <c r="Z2493" s="3"/>
      <c r="AA2493" s="3"/>
      <c r="AB2493" s="3"/>
    </row>
    <row r="2494" spans="1:28" x14ac:dyDescent="0.3">
      <c r="A2494" s="2"/>
      <c r="F2494" s="3"/>
      <c r="G2494" s="3"/>
      <c r="N2494" s="3"/>
      <c r="Q2494" s="3"/>
      <c r="R2494" s="3"/>
      <c r="S2494" s="3"/>
      <c r="V2494" s="3"/>
      <c r="W2494" s="3"/>
      <c r="X2494" s="3"/>
      <c r="Y2494" s="3"/>
      <c r="Z2494" s="3"/>
      <c r="AA2494" s="3"/>
      <c r="AB2494" s="3"/>
    </row>
    <row r="2495" spans="1:28" x14ac:dyDescent="0.3">
      <c r="A2495" s="2"/>
      <c r="F2495" s="3"/>
      <c r="G2495" s="3"/>
      <c r="N2495" s="3"/>
      <c r="Q2495" s="3"/>
      <c r="R2495" s="3"/>
      <c r="S2495" s="3"/>
      <c r="V2495" s="3"/>
      <c r="W2495" s="3"/>
      <c r="X2495" s="3"/>
      <c r="Y2495" s="3"/>
      <c r="Z2495" s="3"/>
      <c r="AA2495" s="3"/>
      <c r="AB2495" s="3"/>
    </row>
    <row r="2496" spans="1:28" x14ac:dyDescent="0.3">
      <c r="A2496" s="2"/>
      <c r="F2496" s="3"/>
      <c r="G2496" s="3"/>
      <c r="N2496" s="3"/>
      <c r="Q2496" s="3"/>
      <c r="R2496" s="3"/>
      <c r="S2496" s="3"/>
      <c r="V2496" s="3"/>
      <c r="W2496" s="3"/>
      <c r="X2496" s="3"/>
      <c r="Y2496" s="3"/>
      <c r="Z2496" s="3"/>
      <c r="AA2496" s="3"/>
      <c r="AB2496" s="3"/>
    </row>
    <row r="2497" spans="1:28" x14ac:dyDescent="0.3">
      <c r="A2497" s="2"/>
      <c r="F2497" s="3"/>
      <c r="G2497" s="3"/>
      <c r="N2497" s="3"/>
      <c r="Q2497" s="3"/>
      <c r="R2497" s="3"/>
      <c r="S2497" s="3"/>
      <c r="V2497" s="3"/>
      <c r="W2497" s="3"/>
      <c r="X2497" s="3"/>
      <c r="Y2497" s="3"/>
      <c r="Z2497" s="3"/>
      <c r="AA2497" s="3"/>
      <c r="AB2497" s="3"/>
    </row>
    <row r="2498" spans="1:28" x14ac:dyDescent="0.3">
      <c r="A2498" s="2"/>
      <c r="F2498" s="3"/>
      <c r="G2498" s="3"/>
      <c r="N2498" s="3"/>
      <c r="Q2498" s="3"/>
      <c r="R2498" s="3"/>
      <c r="S2498" s="3"/>
      <c r="V2498" s="3"/>
      <c r="W2498" s="3"/>
      <c r="X2498" s="3"/>
      <c r="Y2498" s="3"/>
      <c r="Z2498" s="3"/>
      <c r="AA2498" s="3"/>
      <c r="AB2498" s="3"/>
    </row>
    <row r="2499" spans="1:28" x14ac:dyDescent="0.3">
      <c r="A2499" s="2"/>
      <c r="F2499" s="3"/>
      <c r="G2499" s="3"/>
      <c r="N2499" s="3"/>
      <c r="Q2499" s="3"/>
      <c r="R2499" s="3"/>
      <c r="S2499" s="3"/>
      <c r="V2499" s="3"/>
      <c r="W2499" s="3"/>
      <c r="X2499" s="3"/>
      <c r="Y2499" s="3"/>
      <c r="Z2499" s="3"/>
      <c r="AA2499" s="3"/>
      <c r="AB2499" s="3"/>
    </row>
    <row r="2500" spans="1:28" x14ac:dyDescent="0.3">
      <c r="A2500" s="2"/>
      <c r="F2500" s="3"/>
      <c r="G2500" s="3"/>
      <c r="N2500" s="3"/>
      <c r="Q2500" s="3"/>
      <c r="R2500" s="3"/>
      <c r="S2500" s="3"/>
      <c r="V2500" s="3"/>
      <c r="W2500" s="3"/>
      <c r="X2500" s="3"/>
      <c r="Y2500" s="3"/>
      <c r="Z2500" s="3"/>
      <c r="AA2500" s="3"/>
      <c r="AB2500" s="3"/>
    </row>
    <row r="2501" spans="1:28" x14ac:dyDescent="0.3">
      <c r="A2501" s="2"/>
      <c r="F2501" s="3"/>
      <c r="G2501" s="3"/>
      <c r="N2501" s="3"/>
      <c r="Q2501" s="3"/>
      <c r="R2501" s="3"/>
      <c r="S2501" s="3"/>
      <c r="V2501" s="3"/>
      <c r="W2501" s="3"/>
      <c r="X2501" s="3"/>
      <c r="Y2501" s="3"/>
      <c r="Z2501" s="3"/>
      <c r="AA2501" s="3"/>
      <c r="AB2501" s="3"/>
    </row>
    <row r="2502" spans="1:28" x14ac:dyDescent="0.3">
      <c r="A2502" s="2"/>
      <c r="F2502" s="3"/>
      <c r="G2502" s="3"/>
      <c r="N2502" s="3"/>
      <c r="Q2502" s="3"/>
      <c r="R2502" s="3"/>
      <c r="S2502" s="3"/>
      <c r="V2502" s="3"/>
      <c r="W2502" s="3"/>
      <c r="X2502" s="3"/>
      <c r="Y2502" s="3"/>
      <c r="Z2502" s="3"/>
      <c r="AA2502" s="3"/>
      <c r="AB2502" s="3"/>
    </row>
    <row r="2503" spans="1:28" x14ac:dyDescent="0.3">
      <c r="A2503" s="2"/>
      <c r="F2503" s="3"/>
      <c r="G2503" s="3"/>
      <c r="N2503" s="3"/>
      <c r="Q2503" s="3"/>
      <c r="R2503" s="3"/>
      <c r="S2503" s="3"/>
      <c r="V2503" s="3"/>
      <c r="W2503" s="3"/>
      <c r="X2503" s="3"/>
      <c r="Y2503" s="3"/>
      <c r="Z2503" s="3"/>
      <c r="AA2503" s="3"/>
      <c r="AB2503" s="3"/>
    </row>
    <row r="2504" spans="1:28" x14ac:dyDescent="0.3">
      <c r="A2504" s="2"/>
      <c r="F2504" s="3"/>
      <c r="G2504" s="3"/>
      <c r="N2504" s="3"/>
      <c r="Q2504" s="3"/>
      <c r="R2504" s="3"/>
      <c r="S2504" s="3"/>
      <c r="V2504" s="3"/>
      <c r="W2504" s="3"/>
      <c r="X2504" s="3"/>
      <c r="Y2504" s="3"/>
      <c r="Z2504" s="3"/>
      <c r="AA2504" s="3"/>
      <c r="AB2504" s="3"/>
    </row>
    <row r="2505" spans="1:28" x14ac:dyDescent="0.3">
      <c r="A2505" s="2"/>
      <c r="F2505" s="3"/>
      <c r="G2505" s="3"/>
      <c r="N2505" s="3"/>
      <c r="Q2505" s="3"/>
      <c r="R2505" s="3"/>
      <c r="S2505" s="3"/>
      <c r="V2505" s="3"/>
      <c r="W2505" s="3"/>
      <c r="X2505" s="3"/>
      <c r="Y2505" s="3"/>
      <c r="Z2505" s="3"/>
      <c r="AA2505" s="3"/>
      <c r="AB2505" s="3"/>
    </row>
    <row r="2506" spans="1:28" x14ac:dyDescent="0.3">
      <c r="A2506" s="2"/>
      <c r="F2506" s="3"/>
      <c r="G2506" s="3"/>
      <c r="N2506" s="3"/>
      <c r="Q2506" s="3"/>
      <c r="R2506" s="3"/>
      <c r="S2506" s="3"/>
      <c r="V2506" s="3"/>
      <c r="W2506" s="3"/>
      <c r="X2506" s="3"/>
      <c r="Y2506" s="3"/>
      <c r="Z2506" s="3"/>
      <c r="AA2506" s="3"/>
      <c r="AB2506" s="3"/>
    </row>
    <row r="2507" spans="1:28" x14ac:dyDescent="0.3">
      <c r="A2507" s="2"/>
      <c r="F2507" s="3"/>
      <c r="G2507" s="3"/>
      <c r="N2507" s="3"/>
      <c r="Q2507" s="3"/>
      <c r="R2507" s="3"/>
      <c r="S2507" s="3"/>
      <c r="V2507" s="3"/>
      <c r="W2507" s="3"/>
      <c r="X2507" s="3"/>
      <c r="Y2507" s="3"/>
      <c r="Z2507" s="3"/>
      <c r="AA2507" s="3"/>
      <c r="AB2507" s="3"/>
    </row>
    <row r="2508" spans="1:28" x14ac:dyDescent="0.3">
      <c r="A2508" s="2"/>
      <c r="F2508" s="3"/>
      <c r="G2508" s="3"/>
      <c r="N2508" s="3"/>
      <c r="Q2508" s="3"/>
      <c r="R2508" s="3"/>
      <c r="S2508" s="3"/>
      <c r="V2508" s="3"/>
      <c r="W2508" s="3"/>
      <c r="X2508" s="3"/>
      <c r="Y2508" s="3"/>
      <c r="Z2508" s="3"/>
      <c r="AA2508" s="3"/>
      <c r="AB2508" s="3"/>
    </row>
    <row r="2509" spans="1:28" x14ac:dyDescent="0.3">
      <c r="A2509" s="2"/>
      <c r="F2509" s="3"/>
      <c r="G2509" s="3"/>
      <c r="N2509" s="3"/>
      <c r="Q2509" s="3"/>
      <c r="R2509" s="3"/>
      <c r="S2509" s="3"/>
      <c r="V2509" s="3"/>
      <c r="W2509" s="3"/>
      <c r="X2509" s="3"/>
      <c r="Y2509" s="3"/>
      <c r="Z2509" s="3"/>
      <c r="AA2509" s="3"/>
      <c r="AB2509" s="3"/>
    </row>
    <row r="2510" spans="1:28" x14ac:dyDescent="0.3">
      <c r="A2510" s="2"/>
      <c r="F2510" s="3"/>
      <c r="G2510" s="3"/>
      <c r="N2510" s="3"/>
      <c r="Q2510" s="3"/>
      <c r="R2510" s="3"/>
      <c r="S2510" s="3"/>
      <c r="V2510" s="3"/>
      <c r="W2510" s="3"/>
      <c r="X2510" s="3"/>
      <c r="Y2510" s="3"/>
      <c r="Z2510" s="3"/>
      <c r="AA2510" s="3"/>
      <c r="AB2510" s="3"/>
    </row>
    <row r="2511" spans="1:28" x14ac:dyDescent="0.3">
      <c r="A2511" s="2"/>
      <c r="F2511" s="3"/>
      <c r="G2511" s="3"/>
      <c r="N2511" s="3"/>
      <c r="Q2511" s="3"/>
      <c r="R2511" s="3"/>
      <c r="S2511" s="3"/>
      <c r="V2511" s="3"/>
      <c r="W2511" s="3"/>
      <c r="X2511" s="3"/>
      <c r="Y2511" s="3"/>
      <c r="Z2511" s="3"/>
      <c r="AA2511" s="3"/>
      <c r="AB2511" s="3"/>
    </row>
    <row r="2512" spans="1:28" x14ac:dyDescent="0.3">
      <c r="A2512" s="2"/>
      <c r="F2512" s="3"/>
      <c r="G2512" s="3"/>
      <c r="N2512" s="3"/>
      <c r="Q2512" s="3"/>
      <c r="R2512" s="3"/>
      <c r="S2512" s="3"/>
      <c r="V2512" s="3"/>
      <c r="W2512" s="3"/>
      <c r="X2512" s="3"/>
      <c r="Y2512" s="3"/>
      <c r="Z2512" s="3"/>
      <c r="AA2512" s="3"/>
      <c r="AB2512" s="3"/>
    </row>
    <row r="2513" spans="1:28" x14ac:dyDescent="0.3">
      <c r="A2513" s="2"/>
      <c r="F2513" s="3"/>
      <c r="G2513" s="3"/>
      <c r="N2513" s="3"/>
      <c r="Q2513" s="3"/>
      <c r="R2513" s="3"/>
      <c r="S2513" s="3"/>
      <c r="V2513" s="3"/>
      <c r="W2513" s="3"/>
      <c r="X2513" s="3"/>
      <c r="Y2513" s="3"/>
      <c r="Z2513" s="3"/>
      <c r="AA2513" s="3"/>
      <c r="AB2513" s="3"/>
    </row>
    <row r="2514" spans="1:28" x14ac:dyDescent="0.3">
      <c r="A2514" s="2"/>
      <c r="F2514" s="3"/>
      <c r="G2514" s="3"/>
      <c r="N2514" s="3"/>
      <c r="Q2514" s="3"/>
      <c r="R2514" s="3"/>
      <c r="S2514" s="3"/>
      <c r="V2514" s="3"/>
      <c r="W2514" s="3"/>
      <c r="X2514" s="3"/>
      <c r="Y2514" s="3"/>
      <c r="Z2514" s="3"/>
      <c r="AA2514" s="3"/>
      <c r="AB2514" s="3"/>
    </row>
    <row r="2515" spans="1:28" x14ac:dyDescent="0.3">
      <c r="A2515" s="2"/>
      <c r="F2515" s="3"/>
      <c r="G2515" s="3"/>
      <c r="N2515" s="3"/>
      <c r="Q2515" s="3"/>
      <c r="R2515" s="3"/>
      <c r="S2515" s="3"/>
      <c r="V2515" s="3"/>
      <c r="W2515" s="3"/>
      <c r="X2515" s="3"/>
      <c r="Y2515" s="3"/>
      <c r="Z2515" s="3"/>
      <c r="AA2515" s="3"/>
      <c r="AB2515" s="3"/>
    </row>
    <row r="2516" spans="1:28" x14ac:dyDescent="0.3">
      <c r="A2516" s="2"/>
      <c r="F2516" s="3"/>
      <c r="G2516" s="3"/>
      <c r="N2516" s="3"/>
      <c r="Q2516" s="3"/>
      <c r="R2516" s="3"/>
      <c r="S2516" s="3"/>
      <c r="V2516" s="3"/>
      <c r="W2516" s="3"/>
      <c r="X2516" s="3"/>
      <c r="Y2516" s="3"/>
      <c r="Z2516" s="3"/>
      <c r="AA2516" s="3"/>
      <c r="AB2516" s="3"/>
    </row>
    <row r="2517" spans="1:28" x14ac:dyDescent="0.3">
      <c r="A2517" s="2"/>
      <c r="F2517" s="3"/>
      <c r="G2517" s="3"/>
      <c r="N2517" s="3"/>
      <c r="Q2517" s="3"/>
      <c r="R2517" s="3"/>
      <c r="S2517" s="3"/>
      <c r="V2517" s="3"/>
      <c r="W2517" s="3"/>
      <c r="X2517" s="3"/>
      <c r="Y2517" s="3"/>
      <c r="Z2517" s="3"/>
      <c r="AA2517" s="3"/>
      <c r="AB2517" s="3"/>
    </row>
    <row r="2518" spans="1:28" x14ac:dyDescent="0.3">
      <c r="A2518" s="2"/>
      <c r="F2518" s="3"/>
      <c r="G2518" s="3"/>
      <c r="N2518" s="3"/>
      <c r="Q2518" s="3"/>
      <c r="R2518" s="3"/>
      <c r="S2518" s="3"/>
      <c r="V2518" s="3"/>
      <c r="W2518" s="3"/>
      <c r="X2518" s="3"/>
      <c r="Y2518" s="3"/>
      <c r="Z2518" s="3"/>
      <c r="AA2518" s="3"/>
      <c r="AB2518" s="3"/>
    </row>
    <row r="2519" spans="1:28" x14ac:dyDescent="0.3">
      <c r="A2519" s="2"/>
      <c r="F2519" s="3"/>
      <c r="G2519" s="3"/>
      <c r="N2519" s="3"/>
      <c r="Q2519" s="3"/>
      <c r="R2519" s="3"/>
      <c r="S2519" s="3"/>
      <c r="V2519" s="3"/>
      <c r="W2519" s="3"/>
      <c r="X2519" s="3"/>
      <c r="Y2519" s="3"/>
      <c r="Z2519" s="3"/>
      <c r="AA2519" s="3"/>
      <c r="AB2519" s="3"/>
    </row>
    <row r="2520" spans="1:28" x14ac:dyDescent="0.3">
      <c r="A2520" s="2"/>
      <c r="F2520" s="3"/>
      <c r="G2520" s="3"/>
      <c r="N2520" s="3"/>
      <c r="Q2520" s="3"/>
      <c r="R2520" s="3"/>
      <c r="S2520" s="3"/>
      <c r="V2520" s="3"/>
      <c r="W2520" s="3"/>
      <c r="X2520" s="3"/>
      <c r="Y2520" s="3"/>
      <c r="Z2520" s="3"/>
      <c r="AA2520" s="3"/>
      <c r="AB2520" s="3"/>
    </row>
    <row r="2521" spans="1:28" x14ac:dyDescent="0.3">
      <c r="A2521" s="2"/>
      <c r="F2521" s="3"/>
      <c r="G2521" s="3"/>
      <c r="N2521" s="3"/>
      <c r="Q2521" s="3"/>
      <c r="R2521" s="3"/>
      <c r="S2521" s="3"/>
      <c r="V2521" s="3"/>
      <c r="W2521" s="3"/>
      <c r="X2521" s="3"/>
      <c r="Y2521" s="3"/>
      <c r="Z2521" s="3"/>
      <c r="AA2521" s="3"/>
      <c r="AB2521" s="3"/>
    </row>
    <row r="2522" spans="1:28" x14ac:dyDescent="0.3">
      <c r="A2522" s="2"/>
      <c r="F2522" s="3"/>
      <c r="G2522" s="3"/>
      <c r="N2522" s="3"/>
      <c r="Q2522" s="3"/>
      <c r="R2522" s="3"/>
      <c r="S2522" s="3"/>
      <c r="V2522" s="3"/>
      <c r="W2522" s="3"/>
      <c r="X2522" s="3"/>
      <c r="Y2522" s="3"/>
      <c r="Z2522" s="3"/>
      <c r="AA2522" s="3"/>
      <c r="AB2522" s="3"/>
    </row>
    <row r="2523" spans="1:28" x14ac:dyDescent="0.3">
      <c r="A2523" s="2"/>
      <c r="F2523" s="3"/>
      <c r="G2523" s="3"/>
      <c r="N2523" s="3"/>
      <c r="Q2523" s="3"/>
      <c r="R2523" s="3"/>
      <c r="S2523" s="3"/>
      <c r="V2523" s="3"/>
      <c r="W2523" s="3"/>
      <c r="X2523" s="3"/>
      <c r="Y2523" s="3"/>
      <c r="Z2523" s="3"/>
      <c r="AA2523" s="3"/>
      <c r="AB2523" s="3"/>
    </row>
    <row r="2524" spans="1:28" x14ac:dyDescent="0.3">
      <c r="A2524" s="2"/>
      <c r="F2524" s="3"/>
      <c r="G2524" s="3"/>
      <c r="N2524" s="3"/>
      <c r="Q2524" s="3"/>
      <c r="R2524" s="3"/>
      <c r="S2524" s="3"/>
      <c r="V2524" s="3"/>
      <c r="W2524" s="3"/>
      <c r="X2524" s="3"/>
      <c r="Y2524" s="3"/>
      <c r="Z2524" s="3"/>
      <c r="AA2524" s="3"/>
      <c r="AB2524" s="3"/>
    </row>
    <row r="2525" spans="1:28" x14ac:dyDescent="0.3">
      <c r="A2525" s="2"/>
      <c r="F2525" s="3"/>
      <c r="G2525" s="3"/>
      <c r="N2525" s="3"/>
      <c r="Q2525" s="3"/>
      <c r="R2525" s="3"/>
      <c r="S2525" s="3"/>
      <c r="V2525" s="3"/>
      <c r="W2525" s="3"/>
      <c r="X2525" s="3"/>
      <c r="Y2525" s="3"/>
      <c r="Z2525" s="3"/>
      <c r="AA2525" s="3"/>
      <c r="AB2525" s="3"/>
    </row>
    <row r="2526" spans="1:28" x14ac:dyDescent="0.3">
      <c r="A2526" s="2"/>
      <c r="F2526" s="3"/>
      <c r="G2526" s="3"/>
      <c r="N2526" s="3"/>
      <c r="Q2526" s="3"/>
      <c r="R2526" s="3"/>
      <c r="S2526" s="3"/>
      <c r="V2526" s="3"/>
      <c r="W2526" s="3"/>
      <c r="X2526" s="3"/>
      <c r="Y2526" s="3"/>
      <c r="Z2526" s="3"/>
      <c r="AA2526" s="3"/>
      <c r="AB2526" s="3"/>
    </row>
    <row r="2527" spans="1:28" x14ac:dyDescent="0.3">
      <c r="A2527" s="2"/>
      <c r="F2527" s="3"/>
      <c r="G2527" s="3"/>
      <c r="N2527" s="3"/>
      <c r="Q2527" s="3"/>
      <c r="R2527" s="3"/>
      <c r="S2527" s="3"/>
      <c r="V2527" s="3"/>
      <c r="W2527" s="3"/>
      <c r="X2527" s="3"/>
      <c r="Y2527" s="3"/>
      <c r="Z2527" s="3"/>
      <c r="AA2527" s="3"/>
      <c r="AB2527" s="3"/>
    </row>
    <row r="2528" spans="1:28" x14ac:dyDescent="0.3">
      <c r="A2528" s="2"/>
      <c r="F2528" s="3"/>
      <c r="G2528" s="3"/>
      <c r="N2528" s="3"/>
      <c r="Q2528" s="3"/>
      <c r="R2528" s="3"/>
      <c r="S2528" s="3"/>
      <c r="V2528" s="3"/>
      <c r="W2528" s="3"/>
      <c r="X2528" s="3"/>
      <c r="Y2528" s="3"/>
      <c r="Z2528" s="3"/>
      <c r="AA2528" s="3"/>
      <c r="AB2528" s="3"/>
    </row>
    <row r="2529" spans="1:28" x14ac:dyDescent="0.3">
      <c r="A2529" s="2"/>
      <c r="F2529" s="3"/>
      <c r="G2529" s="3"/>
      <c r="N2529" s="3"/>
      <c r="Q2529" s="3"/>
      <c r="R2529" s="3"/>
      <c r="S2529" s="3"/>
      <c r="V2529" s="3"/>
      <c r="W2529" s="3"/>
      <c r="X2529" s="3"/>
      <c r="Y2529" s="3"/>
      <c r="Z2529" s="3"/>
      <c r="AA2529" s="3"/>
      <c r="AB2529" s="3"/>
    </row>
    <row r="2530" spans="1:28" x14ac:dyDescent="0.3">
      <c r="A2530" s="2"/>
      <c r="F2530" s="3"/>
      <c r="G2530" s="3"/>
      <c r="N2530" s="3"/>
      <c r="Q2530" s="3"/>
      <c r="R2530" s="3"/>
      <c r="S2530" s="3"/>
      <c r="V2530" s="3"/>
      <c r="W2530" s="3"/>
      <c r="X2530" s="3"/>
      <c r="Y2530" s="3"/>
      <c r="Z2530" s="3"/>
      <c r="AA2530" s="3"/>
      <c r="AB2530" s="3"/>
    </row>
    <row r="2531" spans="1:28" x14ac:dyDescent="0.3">
      <c r="A2531" s="2"/>
      <c r="F2531" s="3"/>
      <c r="G2531" s="3"/>
      <c r="N2531" s="3"/>
      <c r="Q2531" s="3"/>
      <c r="R2531" s="3"/>
      <c r="S2531" s="3"/>
      <c r="V2531" s="3"/>
      <c r="W2531" s="3"/>
      <c r="X2531" s="3"/>
      <c r="Y2531" s="3"/>
      <c r="Z2531" s="3"/>
      <c r="AA2531" s="3"/>
      <c r="AB2531" s="3"/>
    </row>
    <row r="2532" spans="1:28" x14ac:dyDescent="0.3">
      <c r="A2532" s="2"/>
      <c r="F2532" s="3"/>
      <c r="G2532" s="3"/>
      <c r="N2532" s="3"/>
      <c r="Q2532" s="3"/>
      <c r="R2532" s="3"/>
      <c r="S2532" s="3"/>
      <c r="V2532" s="3"/>
      <c r="W2532" s="3"/>
      <c r="X2532" s="3"/>
      <c r="Y2532" s="3"/>
      <c r="Z2532" s="3"/>
      <c r="AA2532" s="3"/>
      <c r="AB2532" s="3"/>
    </row>
    <row r="2533" spans="1:28" x14ac:dyDescent="0.3">
      <c r="A2533" s="2"/>
      <c r="F2533" s="3"/>
      <c r="G2533" s="3"/>
      <c r="N2533" s="3"/>
      <c r="Q2533" s="3"/>
      <c r="R2533" s="3"/>
      <c r="S2533" s="3"/>
      <c r="V2533" s="3"/>
      <c r="W2533" s="3"/>
      <c r="X2533" s="3"/>
      <c r="Y2533" s="3"/>
      <c r="Z2533" s="3"/>
      <c r="AA2533" s="3"/>
      <c r="AB2533" s="3"/>
    </row>
    <row r="2534" spans="1:28" x14ac:dyDescent="0.3">
      <c r="A2534" s="2"/>
      <c r="F2534" s="3"/>
      <c r="G2534" s="3"/>
      <c r="N2534" s="3"/>
      <c r="Q2534" s="3"/>
      <c r="R2534" s="3"/>
      <c r="S2534" s="3"/>
      <c r="V2534" s="3"/>
      <c r="W2534" s="3"/>
      <c r="X2534" s="3"/>
      <c r="Y2534" s="3"/>
      <c r="Z2534" s="3"/>
      <c r="AA2534" s="3"/>
      <c r="AB2534" s="3"/>
    </row>
    <row r="2535" spans="1:28" x14ac:dyDescent="0.3">
      <c r="A2535" s="2"/>
      <c r="F2535" s="3"/>
      <c r="G2535" s="3"/>
      <c r="N2535" s="3"/>
      <c r="Q2535" s="3"/>
      <c r="R2535" s="3"/>
      <c r="S2535" s="3"/>
      <c r="V2535" s="3"/>
      <c r="W2535" s="3"/>
      <c r="X2535" s="3"/>
      <c r="Y2535" s="3"/>
      <c r="Z2535" s="3"/>
      <c r="AA2535" s="3"/>
      <c r="AB2535" s="3"/>
    </row>
    <row r="2536" spans="1:28" x14ac:dyDescent="0.3">
      <c r="A2536" s="2"/>
      <c r="F2536" s="3"/>
      <c r="G2536" s="3"/>
      <c r="N2536" s="3"/>
      <c r="Q2536" s="3"/>
      <c r="R2536" s="3"/>
      <c r="S2536" s="3"/>
      <c r="V2536" s="3"/>
      <c r="W2536" s="3"/>
      <c r="X2536" s="3"/>
      <c r="Y2536" s="3"/>
      <c r="Z2536" s="3"/>
      <c r="AA2536" s="3"/>
      <c r="AB2536" s="3"/>
    </row>
    <row r="2537" spans="1:28" x14ac:dyDescent="0.3">
      <c r="A2537" s="2"/>
      <c r="F2537" s="3"/>
      <c r="G2537" s="3"/>
      <c r="N2537" s="3"/>
      <c r="Q2537" s="3"/>
      <c r="R2537" s="3"/>
      <c r="S2537" s="3"/>
      <c r="V2537" s="3"/>
      <c r="W2537" s="3"/>
      <c r="X2537" s="3"/>
      <c r="Y2537" s="3"/>
      <c r="Z2537" s="3"/>
      <c r="AA2537" s="3"/>
      <c r="AB2537" s="3"/>
    </row>
    <row r="2538" spans="1:28" x14ac:dyDescent="0.3">
      <c r="A2538" s="2"/>
      <c r="F2538" s="3"/>
      <c r="G2538" s="3"/>
      <c r="N2538" s="3"/>
      <c r="Q2538" s="3"/>
      <c r="R2538" s="3"/>
      <c r="S2538" s="3"/>
      <c r="V2538" s="3"/>
      <c r="W2538" s="3"/>
      <c r="X2538" s="3"/>
      <c r="Y2538" s="3"/>
      <c r="Z2538" s="3"/>
      <c r="AA2538" s="3"/>
      <c r="AB2538" s="3"/>
    </row>
    <row r="2539" spans="1:28" x14ac:dyDescent="0.3">
      <c r="A2539" s="2"/>
      <c r="F2539" s="3"/>
      <c r="G2539" s="3"/>
      <c r="N2539" s="3"/>
      <c r="Q2539" s="3"/>
      <c r="R2539" s="3"/>
      <c r="S2539" s="3"/>
      <c r="V2539" s="3"/>
      <c r="W2539" s="3"/>
      <c r="X2539" s="3"/>
      <c r="Y2539" s="3"/>
      <c r="Z2539" s="3"/>
      <c r="AA2539" s="3"/>
      <c r="AB2539" s="3"/>
    </row>
    <row r="2540" spans="1:28" x14ac:dyDescent="0.3">
      <c r="A2540" s="2"/>
      <c r="F2540" s="3"/>
      <c r="G2540" s="3"/>
      <c r="N2540" s="3"/>
      <c r="Q2540" s="3"/>
      <c r="R2540" s="3"/>
      <c r="S2540" s="3"/>
      <c r="V2540" s="3"/>
      <c r="W2540" s="3"/>
      <c r="X2540" s="3"/>
      <c r="Y2540" s="3"/>
      <c r="Z2540" s="3"/>
      <c r="AA2540" s="3"/>
      <c r="AB2540" s="3"/>
    </row>
    <row r="2541" spans="1:28" x14ac:dyDescent="0.3">
      <c r="A2541" s="2"/>
      <c r="F2541" s="3"/>
      <c r="G2541" s="3"/>
      <c r="N2541" s="3"/>
      <c r="Q2541" s="3"/>
      <c r="R2541" s="3"/>
      <c r="S2541" s="3"/>
      <c r="V2541" s="3"/>
      <c r="W2541" s="3"/>
      <c r="X2541" s="3"/>
      <c r="Y2541" s="3"/>
      <c r="Z2541" s="3"/>
      <c r="AA2541" s="3"/>
      <c r="AB2541" s="3"/>
    </row>
    <row r="2542" spans="1:28" x14ac:dyDescent="0.3">
      <c r="A2542" s="2"/>
      <c r="F2542" s="3"/>
      <c r="G2542" s="3"/>
      <c r="N2542" s="3"/>
      <c r="Q2542" s="3"/>
      <c r="R2542" s="3"/>
      <c r="S2542" s="3"/>
      <c r="V2542" s="3"/>
      <c r="W2542" s="3"/>
      <c r="X2542" s="3"/>
      <c r="Y2542" s="3"/>
      <c r="Z2542" s="3"/>
      <c r="AA2542" s="3"/>
      <c r="AB2542" s="3"/>
    </row>
    <row r="2543" spans="1:28" x14ac:dyDescent="0.3">
      <c r="A2543" s="2"/>
      <c r="F2543" s="3"/>
      <c r="G2543" s="3"/>
      <c r="N2543" s="3"/>
      <c r="Q2543" s="3"/>
      <c r="R2543" s="3"/>
      <c r="S2543" s="3"/>
      <c r="V2543" s="3"/>
      <c r="W2543" s="3"/>
      <c r="X2543" s="3"/>
      <c r="Y2543" s="3"/>
      <c r="Z2543" s="3"/>
      <c r="AA2543" s="3"/>
      <c r="AB2543" s="3"/>
    </row>
    <row r="2544" spans="1:28" x14ac:dyDescent="0.3">
      <c r="A2544" s="2"/>
      <c r="F2544" s="3"/>
      <c r="G2544" s="3"/>
      <c r="N2544" s="3"/>
      <c r="Q2544" s="3"/>
      <c r="R2544" s="3"/>
      <c r="S2544" s="3"/>
      <c r="V2544" s="3"/>
      <c r="W2544" s="3"/>
      <c r="X2544" s="3"/>
      <c r="Y2544" s="3"/>
      <c r="Z2544" s="3"/>
      <c r="AA2544" s="3"/>
      <c r="AB2544" s="3"/>
    </row>
    <row r="2545" spans="1:28" x14ac:dyDescent="0.3">
      <c r="A2545" s="2"/>
      <c r="F2545" s="3"/>
      <c r="G2545" s="3"/>
      <c r="N2545" s="3"/>
      <c r="Q2545" s="3"/>
      <c r="R2545" s="3"/>
      <c r="S2545" s="3"/>
      <c r="V2545" s="3"/>
      <c r="W2545" s="3"/>
      <c r="X2545" s="3"/>
      <c r="Y2545" s="3"/>
      <c r="Z2545" s="3"/>
      <c r="AA2545" s="3"/>
      <c r="AB2545" s="3"/>
    </row>
    <row r="2546" spans="1:28" x14ac:dyDescent="0.3">
      <c r="A2546" s="2"/>
      <c r="F2546" s="3"/>
      <c r="G2546" s="3"/>
      <c r="N2546" s="3"/>
      <c r="Q2546" s="3"/>
      <c r="R2546" s="3"/>
      <c r="S2546" s="3"/>
      <c r="V2546" s="3"/>
      <c r="W2546" s="3"/>
      <c r="X2546" s="3"/>
      <c r="Y2546" s="3"/>
      <c r="Z2546" s="3"/>
      <c r="AA2546" s="3"/>
      <c r="AB2546" s="3"/>
    </row>
    <row r="2547" spans="1:28" x14ac:dyDescent="0.3">
      <c r="A2547" s="2"/>
      <c r="F2547" s="3"/>
      <c r="G2547" s="3"/>
      <c r="N2547" s="3"/>
      <c r="Q2547" s="3"/>
      <c r="R2547" s="3"/>
      <c r="S2547" s="3"/>
      <c r="V2547" s="3"/>
      <c r="W2547" s="3"/>
      <c r="X2547" s="3"/>
      <c r="Y2547" s="3"/>
      <c r="Z2547" s="3"/>
      <c r="AA2547" s="3"/>
      <c r="AB2547" s="3"/>
    </row>
    <row r="2548" spans="1:28" x14ac:dyDescent="0.3">
      <c r="A2548" s="2"/>
      <c r="F2548" s="3"/>
      <c r="G2548" s="3"/>
      <c r="N2548" s="3"/>
      <c r="Q2548" s="3"/>
      <c r="R2548" s="3"/>
      <c r="S2548" s="3"/>
      <c r="V2548" s="3"/>
      <c r="W2548" s="3"/>
      <c r="X2548" s="3"/>
      <c r="Y2548" s="3"/>
      <c r="Z2548" s="3"/>
      <c r="AA2548" s="3"/>
      <c r="AB2548" s="3"/>
    </row>
    <row r="2549" spans="1:28" x14ac:dyDescent="0.3">
      <c r="A2549" s="2"/>
      <c r="F2549" s="3"/>
      <c r="G2549" s="3"/>
      <c r="N2549" s="3"/>
      <c r="Q2549" s="3"/>
      <c r="R2549" s="3"/>
      <c r="S2549" s="3"/>
      <c r="V2549" s="3"/>
      <c r="W2549" s="3"/>
      <c r="X2549" s="3"/>
      <c r="Y2549" s="3"/>
      <c r="Z2549" s="3"/>
      <c r="AA2549" s="3"/>
      <c r="AB2549" s="3"/>
    </row>
    <row r="2550" spans="1:28" x14ac:dyDescent="0.3">
      <c r="A2550" s="2"/>
      <c r="F2550" s="3"/>
      <c r="G2550" s="3"/>
      <c r="N2550" s="3"/>
      <c r="Q2550" s="3"/>
      <c r="R2550" s="3"/>
      <c r="S2550" s="3"/>
      <c r="V2550" s="3"/>
      <c r="W2550" s="3"/>
      <c r="X2550" s="3"/>
      <c r="Y2550" s="3"/>
      <c r="Z2550" s="3"/>
      <c r="AA2550" s="3"/>
      <c r="AB2550" s="3"/>
    </row>
    <row r="2551" spans="1:28" x14ac:dyDescent="0.3">
      <c r="A2551" s="2"/>
      <c r="F2551" s="3"/>
      <c r="G2551" s="3"/>
      <c r="N2551" s="3"/>
      <c r="Q2551" s="3"/>
      <c r="R2551" s="3"/>
      <c r="S2551" s="3"/>
      <c r="V2551" s="3"/>
      <c r="W2551" s="3"/>
      <c r="X2551" s="3"/>
      <c r="Y2551" s="3"/>
      <c r="Z2551" s="3"/>
      <c r="AA2551" s="3"/>
      <c r="AB2551" s="3"/>
    </row>
    <row r="2552" spans="1:28" x14ac:dyDescent="0.3">
      <c r="A2552" s="2"/>
      <c r="F2552" s="3"/>
      <c r="G2552" s="3"/>
      <c r="N2552" s="3"/>
      <c r="Q2552" s="3"/>
      <c r="R2552" s="3"/>
      <c r="S2552" s="3"/>
      <c r="V2552" s="3"/>
      <c r="W2552" s="3"/>
      <c r="X2552" s="3"/>
      <c r="Y2552" s="3"/>
      <c r="Z2552" s="3"/>
      <c r="AA2552" s="3"/>
      <c r="AB2552" s="3"/>
    </row>
    <row r="2553" spans="1:28" x14ac:dyDescent="0.3">
      <c r="A2553" s="2"/>
      <c r="F2553" s="3"/>
      <c r="G2553" s="3"/>
      <c r="N2553" s="3"/>
      <c r="Q2553" s="3"/>
      <c r="R2553" s="3"/>
      <c r="S2553" s="3"/>
      <c r="V2553" s="3"/>
      <c r="W2553" s="3"/>
      <c r="X2553" s="3"/>
      <c r="Y2553" s="3"/>
      <c r="Z2553" s="3"/>
      <c r="AA2553" s="3"/>
      <c r="AB2553" s="3"/>
    </row>
    <row r="2554" spans="1:28" x14ac:dyDescent="0.3">
      <c r="A2554" s="2"/>
      <c r="F2554" s="3"/>
      <c r="G2554" s="3"/>
      <c r="N2554" s="3"/>
      <c r="Q2554" s="3"/>
      <c r="R2554" s="3"/>
      <c r="S2554" s="3"/>
      <c r="V2554" s="3"/>
      <c r="W2554" s="3"/>
      <c r="X2554" s="3"/>
      <c r="Y2554" s="3"/>
      <c r="Z2554" s="3"/>
      <c r="AA2554" s="3"/>
      <c r="AB2554" s="3"/>
    </row>
    <row r="2555" spans="1:28" x14ac:dyDescent="0.3">
      <c r="A2555" s="2"/>
      <c r="F2555" s="3"/>
      <c r="G2555" s="3"/>
      <c r="N2555" s="3"/>
      <c r="Q2555" s="3"/>
      <c r="R2555" s="3"/>
      <c r="S2555" s="3"/>
      <c r="V2555" s="3"/>
      <c r="W2555" s="3"/>
      <c r="X2555" s="3"/>
      <c r="Y2555" s="3"/>
      <c r="Z2555" s="3"/>
      <c r="AA2555" s="3"/>
      <c r="AB2555" s="3"/>
    </row>
    <row r="2556" spans="1:28" x14ac:dyDescent="0.3">
      <c r="A2556" s="2"/>
      <c r="F2556" s="3"/>
      <c r="G2556" s="3"/>
      <c r="N2556" s="3"/>
      <c r="Q2556" s="3"/>
      <c r="R2556" s="3"/>
      <c r="S2556" s="3"/>
      <c r="V2556" s="3"/>
      <c r="W2556" s="3"/>
      <c r="X2556" s="3"/>
      <c r="Y2556" s="3"/>
      <c r="Z2556" s="3"/>
      <c r="AA2556" s="3"/>
      <c r="AB2556" s="3"/>
    </row>
    <row r="2557" spans="1:28" x14ac:dyDescent="0.3">
      <c r="A2557" s="2"/>
      <c r="F2557" s="3"/>
      <c r="G2557" s="3"/>
      <c r="N2557" s="3"/>
      <c r="Q2557" s="3"/>
      <c r="R2557" s="3"/>
      <c r="S2557" s="3"/>
      <c r="V2557" s="3"/>
      <c r="W2557" s="3"/>
      <c r="X2557" s="3"/>
      <c r="Y2557" s="3"/>
      <c r="Z2557" s="3"/>
      <c r="AA2557" s="3"/>
      <c r="AB2557" s="3"/>
    </row>
    <row r="2558" spans="1:28" x14ac:dyDescent="0.3">
      <c r="A2558" s="2"/>
      <c r="F2558" s="3"/>
      <c r="G2558" s="3"/>
      <c r="N2558" s="3"/>
      <c r="Q2558" s="3"/>
      <c r="R2558" s="3"/>
      <c r="S2558" s="3"/>
      <c r="V2558" s="3"/>
      <c r="W2558" s="3"/>
      <c r="X2558" s="3"/>
      <c r="Y2558" s="3"/>
      <c r="Z2558" s="3"/>
      <c r="AA2558" s="3"/>
      <c r="AB2558" s="3"/>
    </row>
    <row r="2559" spans="1:28" x14ac:dyDescent="0.3">
      <c r="A2559" s="2"/>
      <c r="F2559" s="3"/>
      <c r="G2559" s="3"/>
      <c r="N2559" s="3"/>
      <c r="Q2559" s="3"/>
      <c r="R2559" s="3"/>
      <c r="S2559" s="3"/>
      <c r="V2559" s="3"/>
      <c r="W2559" s="3"/>
      <c r="X2559" s="3"/>
      <c r="Y2559" s="3"/>
      <c r="Z2559" s="3"/>
      <c r="AA2559" s="3"/>
      <c r="AB2559" s="3"/>
    </row>
    <row r="2560" spans="1:28" x14ac:dyDescent="0.3">
      <c r="A2560" s="2"/>
      <c r="F2560" s="3"/>
      <c r="G2560" s="3"/>
      <c r="N2560" s="3"/>
      <c r="Q2560" s="3"/>
      <c r="R2560" s="3"/>
      <c r="S2560" s="3"/>
      <c r="V2560" s="3"/>
      <c r="W2560" s="3"/>
      <c r="X2560" s="3"/>
      <c r="Y2560" s="3"/>
      <c r="Z2560" s="3"/>
      <c r="AA2560" s="3"/>
      <c r="AB2560" s="3"/>
    </row>
    <row r="2561" spans="1:28" x14ac:dyDescent="0.3">
      <c r="A2561" s="2"/>
      <c r="F2561" s="3"/>
      <c r="G2561" s="3"/>
      <c r="N2561" s="3"/>
      <c r="Q2561" s="3"/>
      <c r="R2561" s="3"/>
      <c r="S2561" s="3"/>
      <c r="V2561" s="3"/>
      <c r="W2561" s="3"/>
      <c r="X2561" s="3"/>
      <c r="Y2561" s="3"/>
      <c r="Z2561" s="3"/>
      <c r="AA2561" s="3"/>
      <c r="AB2561" s="3"/>
    </row>
    <row r="2562" spans="1:28" x14ac:dyDescent="0.3">
      <c r="A2562" s="2"/>
      <c r="F2562" s="3"/>
      <c r="G2562" s="3"/>
      <c r="N2562" s="3"/>
      <c r="Q2562" s="3"/>
      <c r="R2562" s="3"/>
      <c r="S2562" s="3"/>
      <c r="V2562" s="3"/>
      <c r="W2562" s="3"/>
      <c r="X2562" s="3"/>
      <c r="Y2562" s="3"/>
      <c r="Z2562" s="3"/>
      <c r="AA2562" s="3"/>
      <c r="AB2562" s="3"/>
    </row>
    <row r="2563" spans="1:28" x14ac:dyDescent="0.3">
      <c r="A2563" s="2"/>
      <c r="F2563" s="3"/>
      <c r="G2563" s="3"/>
      <c r="N2563" s="3"/>
      <c r="Q2563" s="3"/>
      <c r="R2563" s="3"/>
      <c r="S2563" s="3"/>
      <c r="V2563" s="3"/>
      <c r="W2563" s="3"/>
      <c r="X2563" s="3"/>
      <c r="Y2563" s="3"/>
      <c r="Z2563" s="3"/>
      <c r="AA2563" s="3"/>
      <c r="AB2563" s="3"/>
    </row>
    <row r="2564" spans="1:28" x14ac:dyDescent="0.3">
      <c r="A2564" s="2"/>
      <c r="F2564" s="3"/>
      <c r="G2564" s="3"/>
      <c r="N2564" s="3"/>
      <c r="Q2564" s="3"/>
      <c r="R2564" s="3"/>
      <c r="S2564" s="3"/>
      <c r="V2564" s="3"/>
      <c r="W2564" s="3"/>
      <c r="X2564" s="3"/>
      <c r="Y2564" s="3"/>
      <c r="Z2564" s="3"/>
      <c r="AA2564" s="3"/>
      <c r="AB2564" s="3"/>
    </row>
    <row r="2565" spans="1:28" x14ac:dyDescent="0.3">
      <c r="A2565" s="2"/>
      <c r="F2565" s="3"/>
      <c r="G2565" s="3"/>
      <c r="N2565" s="3"/>
      <c r="Q2565" s="3"/>
      <c r="R2565" s="3"/>
      <c r="S2565" s="3"/>
      <c r="V2565" s="3"/>
      <c r="W2565" s="3"/>
      <c r="X2565" s="3"/>
      <c r="Y2565" s="3"/>
      <c r="Z2565" s="3"/>
      <c r="AA2565" s="3"/>
      <c r="AB2565" s="3"/>
    </row>
    <row r="2566" spans="1:28" x14ac:dyDescent="0.3">
      <c r="A2566" s="2"/>
      <c r="F2566" s="3"/>
      <c r="G2566" s="3"/>
      <c r="N2566" s="3"/>
      <c r="Q2566" s="3"/>
      <c r="R2566" s="3"/>
      <c r="S2566" s="3"/>
      <c r="V2566" s="3"/>
      <c r="W2566" s="3"/>
      <c r="X2566" s="3"/>
      <c r="Y2566" s="3"/>
      <c r="Z2566" s="3"/>
      <c r="AA2566" s="3"/>
      <c r="AB2566" s="3"/>
    </row>
    <row r="2567" spans="1:28" x14ac:dyDescent="0.3">
      <c r="A2567" s="2"/>
      <c r="F2567" s="3"/>
      <c r="G2567" s="3"/>
      <c r="N2567" s="3"/>
      <c r="Q2567" s="3"/>
      <c r="R2567" s="3"/>
      <c r="S2567" s="3"/>
      <c r="V2567" s="3"/>
      <c r="W2567" s="3"/>
      <c r="X2567" s="3"/>
      <c r="Y2567" s="3"/>
      <c r="Z2567" s="3"/>
      <c r="AA2567" s="3"/>
      <c r="AB2567" s="3"/>
    </row>
    <row r="2568" spans="1:28" x14ac:dyDescent="0.3">
      <c r="A2568" s="2"/>
      <c r="F2568" s="3"/>
      <c r="G2568" s="3"/>
      <c r="N2568" s="3"/>
      <c r="Q2568" s="3"/>
      <c r="R2568" s="3"/>
      <c r="S2568" s="3"/>
      <c r="V2568" s="3"/>
      <c r="W2568" s="3"/>
      <c r="X2568" s="3"/>
      <c r="Y2568" s="3"/>
      <c r="Z2568" s="3"/>
      <c r="AA2568" s="3"/>
      <c r="AB2568" s="3"/>
    </row>
    <row r="2569" spans="1:28" x14ac:dyDescent="0.3">
      <c r="A2569" s="2"/>
      <c r="F2569" s="3"/>
      <c r="G2569" s="3"/>
      <c r="N2569" s="3"/>
      <c r="Q2569" s="3"/>
      <c r="R2569" s="3"/>
      <c r="S2569" s="3"/>
      <c r="V2569" s="3"/>
      <c r="W2569" s="3"/>
      <c r="X2569" s="3"/>
      <c r="Y2569" s="3"/>
      <c r="Z2569" s="3"/>
      <c r="AA2569" s="3"/>
      <c r="AB2569" s="3"/>
    </row>
    <row r="2570" spans="1:28" x14ac:dyDescent="0.3">
      <c r="A2570" s="2"/>
      <c r="F2570" s="3"/>
      <c r="G2570" s="3"/>
      <c r="N2570" s="3"/>
      <c r="Q2570" s="3"/>
      <c r="R2570" s="3"/>
      <c r="S2570" s="3"/>
      <c r="V2570" s="3"/>
      <c r="W2570" s="3"/>
      <c r="X2570" s="3"/>
      <c r="Y2570" s="3"/>
      <c r="Z2570" s="3"/>
      <c r="AA2570" s="3"/>
      <c r="AB2570" s="3"/>
    </row>
    <row r="2571" spans="1:28" x14ac:dyDescent="0.3">
      <c r="A2571" s="2"/>
      <c r="F2571" s="3"/>
      <c r="G2571" s="3"/>
      <c r="N2571" s="3"/>
      <c r="Q2571" s="3"/>
      <c r="R2571" s="3"/>
      <c r="S2571" s="3"/>
      <c r="V2571" s="3"/>
      <c r="W2571" s="3"/>
      <c r="X2571" s="3"/>
      <c r="Y2571" s="3"/>
      <c r="Z2571" s="3"/>
      <c r="AA2571" s="3"/>
      <c r="AB2571" s="3"/>
    </row>
    <row r="2572" spans="1:28" x14ac:dyDescent="0.3">
      <c r="A2572" s="2"/>
      <c r="F2572" s="3"/>
      <c r="G2572" s="3"/>
      <c r="N2572" s="3"/>
      <c r="Q2572" s="3"/>
      <c r="R2572" s="3"/>
      <c r="S2572" s="3"/>
      <c r="V2572" s="3"/>
      <c r="W2572" s="3"/>
      <c r="X2572" s="3"/>
      <c r="Y2572" s="3"/>
      <c r="Z2572" s="3"/>
      <c r="AA2572" s="3"/>
      <c r="AB2572" s="3"/>
    </row>
    <row r="2573" spans="1:28" x14ac:dyDescent="0.3">
      <c r="A2573" s="2"/>
      <c r="F2573" s="3"/>
      <c r="G2573" s="3"/>
      <c r="N2573" s="3"/>
      <c r="Q2573" s="3"/>
      <c r="R2573" s="3"/>
      <c r="S2573" s="3"/>
      <c r="V2573" s="3"/>
      <c r="W2573" s="3"/>
      <c r="X2573" s="3"/>
      <c r="Y2573" s="3"/>
      <c r="Z2573" s="3"/>
      <c r="AA2573" s="3"/>
      <c r="AB2573" s="3"/>
    </row>
    <row r="2574" spans="1:28" x14ac:dyDescent="0.3">
      <c r="A2574" s="2"/>
      <c r="F2574" s="3"/>
      <c r="G2574" s="3"/>
      <c r="N2574" s="3"/>
      <c r="Q2574" s="3"/>
      <c r="R2574" s="3"/>
      <c r="S2574" s="3"/>
      <c r="V2574" s="3"/>
      <c r="W2574" s="3"/>
      <c r="X2574" s="3"/>
      <c r="Y2574" s="3"/>
      <c r="Z2574" s="3"/>
      <c r="AA2574" s="3"/>
      <c r="AB2574" s="3"/>
    </row>
    <row r="2575" spans="1:28" x14ac:dyDescent="0.3">
      <c r="A2575" s="2"/>
      <c r="F2575" s="3"/>
      <c r="G2575" s="3"/>
      <c r="N2575" s="3"/>
      <c r="Q2575" s="3"/>
      <c r="R2575" s="3"/>
      <c r="S2575" s="3"/>
      <c r="V2575" s="3"/>
      <c r="W2575" s="3"/>
      <c r="X2575" s="3"/>
      <c r="Y2575" s="3"/>
      <c r="Z2575" s="3"/>
      <c r="AA2575" s="3"/>
      <c r="AB2575" s="3"/>
    </row>
    <row r="2576" spans="1:28" x14ac:dyDescent="0.3">
      <c r="A2576" s="2"/>
      <c r="F2576" s="3"/>
      <c r="G2576" s="3"/>
      <c r="N2576" s="3"/>
      <c r="Q2576" s="3"/>
      <c r="R2576" s="3"/>
      <c r="S2576" s="3"/>
      <c r="V2576" s="3"/>
      <c r="W2576" s="3"/>
      <c r="X2576" s="3"/>
      <c r="Y2576" s="3"/>
      <c r="Z2576" s="3"/>
      <c r="AA2576" s="3"/>
      <c r="AB2576" s="3"/>
    </row>
    <row r="2577" spans="1:28" x14ac:dyDescent="0.3">
      <c r="A2577" s="2"/>
      <c r="F2577" s="3"/>
      <c r="G2577" s="3"/>
      <c r="N2577" s="3"/>
      <c r="Q2577" s="3"/>
      <c r="R2577" s="3"/>
      <c r="S2577" s="3"/>
      <c r="V2577" s="3"/>
      <c r="W2577" s="3"/>
      <c r="X2577" s="3"/>
      <c r="Y2577" s="3"/>
      <c r="Z2577" s="3"/>
      <c r="AA2577" s="3"/>
      <c r="AB2577" s="3"/>
    </row>
    <row r="2578" spans="1:28" x14ac:dyDescent="0.3">
      <c r="A2578" s="2"/>
      <c r="F2578" s="3"/>
      <c r="G2578" s="3"/>
      <c r="N2578" s="3"/>
      <c r="Q2578" s="3"/>
      <c r="R2578" s="3"/>
      <c r="S2578" s="3"/>
      <c r="V2578" s="3"/>
      <c r="W2578" s="3"/>
      <c r="X2578" s="3"/>
      <c r="Y2578" s="3"/>
      <c r="Z2578" s="3"/>
      <c r="AA2578" s="3"/>
      <c r="AB2578" s="3"/>
    </row>
    <row r="2579" spans="1:28" x14ac:dyDescent="0.3">
      <c r="A2579" s="2"/>
      <c r="F2579" s="3"/>
      <c r="G2579" s="3"/>
      <c r="N2579" s="3"/>
      <c r="Q2579" s="3"/>
      <c r="R2579" s="3"/>
      <c r="S2579" s="3"/>
      <c r="V2579" s="3"/>
      <c r="W2579" s="3"/>
      <c r="X2579" s="3"/>
      <c r="Y2579" s="3"/>
      <c r="Z2579" s="3"/>
      <c r="AA2579" s="3"/>
      <c r="AB2579" s="3"/>
    </row>
    <row r="2580" spans="1:28" x14ac:dyDescent="0.3">
      <c r="A2580" s="2"/>
      <c r="F2580" s="3"/>
      <c r="G2580" s="3"/>
      <c r="N2580" s="3"/>
      <c r="Q2580" s="3"/>
      <c r="R2580" s="3"/>
      <c r="S2580" s="3"/>
      <c r="V2580" s="3"/>
      <c r="W2580" s="3"/>
      <c r="X2580" s="3"/>
      <c r="Y2580" s="3"/>
      <c r="Z2580" s="3"/>
      <c r="AA2580" s="3"/>
      <c r="AB2580" s="3"/>
    </row>
    <row r="2581" spans="1:28" x14ac:dyDescent="0.3">
      <c r="A2581" s="2"/>
      <c r="F2581" s="3"/>
      <c r="G2581" s="3"/>
      <c r="N2581" s="3"/>
      <c r="Q2581" s="3"/>
      <c r="R2581" s="3"/>
      <c r="S2581" s="3"/>
      <c r="V2581" s="3"/>
      <c r="W2581" s="3"/>
      <c r="X2581" s="3"/>
      <c r="Y2581" s="3"/>
      <c r="Z2581" s="3"/>
      <c r="AA2581" s="3"/>
      <c r="AB2581" s="3"/>
    </row>
    <row r="2582" spans="1:28" x14ac:dyDescent="0.3">
      <c r="A2582" s="2"/>
      <c r="F2582" s="3"/>
      <c r="G2582" s="3"/>
      <c r="N2582" s="3"/>
      <c r="Q2582" s="3"/>
      <c r="R2582" s="3"/>
      <c r="S2582" s="3"/>
      <c r="V2582" s="3"/>
      <c r="W2582" s="3"/>
      <c r="X2582" s="3"/>
      <c r="Y2582" s="3"/>
      <c r="Z2582" s="3"/>
      <c r="AA2582" s="3"/>
      <c r="AB2582" s="3"/>
    </row>
    <row r="2583" spans="1:28" x14ac:dyDescent="0.3">
      <c r="A2583" s="2"/>
      <c r="F2583" s="3"/>
      <c r="G2583" s="3"/>
      <c r="N2583" s="3"/>
      <c r="Q2583" s="3"/>
      <c r="R2583" s="3"/>
      <c r="S2583" s="3"/>
      <c r="V2583" s="3"/>
      <c r="W2583" s="3"/>
      <c r="X2583" s="3"/>
      <c r="Y2583" s="3"/>
      <c r="Z2583" s="3"/>
      <c r="AA2583" s="3"/>
      <c r="AB2583" s="3"/>
    </row>
    <row r="2584" spans="1:28" x14ac:dyDescent="0.3">
      <c r="A2584" s="2"/>
      <c r="F2584" s="3"/>
      <c r="G2584" s="3"/>
      <c r="N2584" s="3"/>
      <c r="Q2584" s="3"/>
      <c r="R2584" s="3"/>
      <c r="S2584" s="3"/>
      <c r="V2584" s="3"/>
      <c r="W2584" s="3"/>
      <c r="X2584" s="3"/>
      <c r="Y2584" s="3"/>
      <c r="Z2584" s="3"/>
      <c r="AA2584" s="3"/>
      <c r="AB2584" s="3"/>
    </row>
    <row r="2585" spans="1:28" x14ac:dyDescent="0.3">
      <c r="A2585" s="2"/>
      <c r="F2585" s="3"/>
      <c r="G2585" s="3"/>
      <c r="N2585" s="3"/>
      <c r="Q2585" s="3"/>
      <c r="R2585" s="3"/>
      <c r="S2585" s="3"/>
      <c r="V2585" s="3"/>
      <c r="W2585" s="3"/>
      <c r="X2585" s="3"/>
      <c r="Y2585" s="3"/>
      <c r="Z2585" s="3"/>
      <c r="AA2585" s="3"/>
      <c r="AB2585" s="3"/>
    </row>
    <row r="2586" spans="1:28" x14ac:dyDescent="0.3">
      <c r="A2586" s="2"/>
      <c r="F2586" s="3"/>
      <c r="G2586" s="3"/>
      <c r="N2586" s="3"/>
      <c r="Q2586" s="3"/>
      <c r="R2586" s="3"/>
      <c r="S2586" s="3"/>
      <c r="V2586" s="3"/>
      <c r="W2586" s="3"/>
      <c r="X2586" s="3"/>
      <c r="Y2586" s="3"/>
      <c r="Z2586" s="3"/>
      <c r="AA2586" s="3"/>
      <c r="AB2586" s="3"/>
    </row>
    <row r="2587" spans="1:28" x14ac:dyDescent="0.3">
      <c r="A2587" s="2"/>
      <c r="F2587" s="3"/>
      <c r="G2587" s="3"/>
      <c r="N2587" s="3"/>
      <c r="Q2587" s="3"/>
      <c r="R2587" s="3"/>
      <c r="S2587" s="3"/>
      <c r="V2587" s="3"/>
      <c r="W2587" s="3"/>
      <c r="X2587" s="3"/>
      <c r="Y2587" s="3"/>
      <c r="Z2587" s="3"/>
      <c r="AA2587" s="3"/>
      <c r="AB2587" s="3"/>
    </row>
    <row r="2588" spans="1:28" x14ac:dyDescent="0.3">
      <c r="A2588" s="2"/>
      <c r="F2588" s="3"/>
      <c r="G2588" s="3"/>
      <c r="N2588" s="3"/>
      <c r="Q2588" s="3"/>
      <c r="R2588" s="3"/>
      <c r="S2588" s="3"/>
      <c r="V2588" s="3"/>
      <c r="W2588" s="3"/>
      <c r="X2588" s="3"/>
      <c r="Y2588" s="3"/>
      <c r="Z2588" s="3"/>
      <c r="AA2588" s="3"/>
      <c r="AB2588" s="3"/>
    </row>
    <row r="2589" spans="1:28" x14ac:dyDescent="0.3">
      <c r="A2589" s="2"/>
      <c r="F2589" s="3"/>
      <c r="G2589" s="3"/>
      <c r="N2589" s="3"/>
      <c r="Q2589" s="3"/>
      <c r="R2589" s="3"/>
      <c r="S2589" s="3"/>
      <c r="V2589" s="3"/>
      <c r="W2589" s="3"/>
      <c r="X2589" s="3"/>
      <c r="Y2589" s="3"/>
      <c r="Z2589" s="3"/>
      <c r="AA2589" s="3"/>
      <c r="AB2589" s="3"/>
    </row>
    <row r="2590" spans="1:28" x14ac:dyDescent="0.3">
      <c r="A2590" s="2"/>
      <c r="F2590" s="3"/>
      <c r="G2590" s="3"/>
      <c r="N2590" s="3"/>
      <c r="Q2590" s="3"/>
      <c r="R2590" s="3"/>
      <c r="S2590" s="3"/>
      <c r="V2590" s="3"/>
      <c r="W2590" s="3"/>
      <c r="X2590" s="3"/>
      <c r="Y2590" s="3"/>
      <c r="Z2590" s="3"/>
      <c r="AA2590" s="3"/>
      <c r="AB2590" s="3"/>
    </row>
    <row r="2591" spans="1:28" x14ac:dyDescent="0.3">
      <c r="A2591" s="2"/>
      <c r="F2591" s="3"/>
      <c r="G2591" s="3"/>
      <c r="N2591" s="3"/>
      <c r="Q2591" s="3"/>
      <c r="R2591" s="3"/>
      <c r="S2591" s="3"/>
      <c r="V2591" s="3"/>
      <c r="W2591" s="3"/>
      <c r="X2591" s="3"/>
      <c r="Y2591" s="3"/>
      <c r="Z2591" s="3"/>
      <c r="AA2591" s="3"/>
      <c r="AB2591" s="3"/>
    </row>
    <row r="2592" spans="1:28" x14ac:dyDescent="0.3">
      <c r="A2592" s="2"/>
      <c r="F2592" s="3"/>
      <c r="G2592" s="3"/>
      <c r="N2592" s="3"/>
      <c r="Q2592" s="3"/>
      <c r="R2592" s="3"/>
      <c r="S2592" s="3"/>
      <c r="V2592" s="3"/>
      <c r="W2592" s="3"/>
      <c r="X2592" s="3"/>
      <c r="Y2592" s="3"/>
      <c r="Z2592" s="3"/>
      <c r="AA2592" s="3"/>
      <c r="AB2592" s="3"/>
    </row>
    <row r="2593" spans="1:28" x14ac:dyDescent="0.3">
      <c r="A2593" s="2"/>
      <c r="F2593" s="3"/>
      <c r="G2593" s="3"/>
      <c r="N2593" s="3"/>
      <c r="Q2593" s="3"/>
      <c r="R2593" s="3"/>
      <c r="S2593" s="3"/>
      <c r="V2593" s="3"/>
      <c r="W2593" s="3"/>
      <c r="X2593" s="3"/>
      <c r="Y2593" s="3"/>
      <c r="Z2593" s="3"/>
      <c r="AA2593" s="3"/>
      <c r="AB2593" s="3"/>
    </row>
    <row r="2594" spans="1:28" x14ac:dyDescent="0.3">
      <c r="A2594" s="2"/>
      <c r="F2594" s="3"/>
      <c r="G2594" s="3"/>
      <c r="N2594" s="3"/>
      <c r="Q2594" s="3"/>
      <c r="R2594" s="3"/>
      <c r="S2594" s="3"/>
      <c r="V2594" s="3"/>
      <c r="W2594" s="3"/>
      <c r="X2594" s="3"/>
      <c r="Y2594" s="3"/>
      <c r="Z2594" s="3"/>
      <c r="AA2594" s="3"/>
      <c r="AB2594" s="3"/>
    </row>
    <row r="2595" spans="1:28" x14ac:dyDescent="0.3">
      <c r="A2595" s="2"/>
      <c r="F2595" s="3"/>
      <c r="G2595" s="3"/>
      <c r="N2595" s="3"/>
      <c r="Q2595" s="3"/>
      <c r="R2595" s="3"/>
      <c r="S2595" s="3"/>
      <c r="V2595" s="3"/>
      <c r="W2595" s="3"/>
      <c r="X2595" s="3"/>
      <c r="Y2595" s="3"/>
      <c r="Z2595" s="3"/>
      <c r="AA2595" s="3"/>
      <c r="AB2595" s="3"/>
    </row>
    <row r="2596" spans="1:28" x14ac:dyDescent="0.3">
      <c r="A2596" s="2"/>
      <c r="F2596" s="3"/>
      <c r="G2596" s="3"/>
      <c r="N2596" s="3"/>
      <c r="Q2596" s="3"/>
      <c r="R2596" s="3"/>
      <c r="S2596" s="3"/>
      <c r="V2596" s="3"/>
      <c r="W2596" s="3"/>
      <c r="X2596" s="3"/>
      <c r="Y2596" s="3"/>
      <c r="Z2596" s="3"/>
      <c r="AA2596" s="3"/>
      <c r="AB2596" s="3"/>
    </row>
    <row r="2597" spans="1:28" x14ac:dyDescent="0.3">
      <c r="A2597" s="2"/>
      <c r="F2597" s="3"/>
      <c r="G2597" s="3"/>
      <c r="N2597" s="3"/>
      <c r="Q2597" s="3"/>
      <c r="R2597" s="3"/>
      <c r="S2597" s="3"/>
      <c r="V2597" s="3"/>
      <c r="W2597" s="3"/>
      <c r="X2597" s="3"/>
      <c r="Y2597" s="3"/>
      <c r="Z2597" s="3"/>
      <c r="AA2597" s="3"/>
      <c r="AB2597" s="3"/>
    </row>
    <row r="2598" spans="1:28" x14ac:dyDescent="0.3">
      <c r="A2598" s="2"/>
      <c r="F2598" s="3"/>
      <c r="G2598" s="3"/>
      <c r="N2598" s="3"/>
      <c r="Q2598" s="3"/>
      <c r="R2598" s="3"/>
      <c r="S2598" s="3"/>
      <c r="V2598" s="3"/>
      <c r="W2598" s="3"/>
      <c r="X2598" s="3"/>
      <c r="Y2598" s="3"/>
      <c r="Z2598" s="3"/>
      <c r="AA2598" s="3"/>
      <c r="AB2598" s="3"/>
    </row>
    <row r="2599" spans="1:28" x14ac:dyDescent="0.3">
      <c r="A2599" s="2"/>
      <c r="F2599" s="3"/>
      <c r="G2599" s="3"/>
      <c r="N2599" s="3"/>
      <c r="Q2599" s="3"/>
      <c r="R2599" s="3"/>
      <c r="S2599" s="3"/>
      <c r="V2599" s="3"/>
      <c r="W2599" s="3"/>
      <c r="X2599" s="3"/>
      <c r="Y2599" s="3"/>
      <c r="Z2599" s="3"/>
      <c r="AA2599" s="3"/>
      <c r="AB2599" s="3"/>
    </row>
    <row r="2600" spans="1:28" x14ac:dyDescent="0.3">
      <c r="A2600" s="2"/>
      <c r="F2600" s="3"/>
      <c r="G2600" s="3"/>
      <c r="N2600" s="3"/>
      <c r="Q2600" s="3"/>
      <c r="R2600" s="3"/>
      <c r="S2600" s="3"/>
      <c r="V2600" s="3"/>
      <c r="W2600" s="3"/>
      <c r="X2600" s="3"/>
      <c r="Y2600" s="3"/>
      <c r="Z2600" s="3"/>
      <c r="AA2600" s="3"/>
      <c r="AB2600" s="3"/>
    </row>
    <row r="2601" spans="1:28" x14ac:dyDescent="0.3">
      <c r="A2601" s="2"/>
      <c r="F2601" s="3"/>
      <c r="G2601" s="3"/>
      <c r="N2601" s="3"/>
      <c r="Q2601" s="3"/>
      <c r="R2601" s="3"/>
      <c r="S2601" s="3"/>
      <c r="V2601" s="3"/>
      <c r="W2601" s="3"/>
      <c r="X2601" s="3"/>
      <c r="Y2601" s="3"/>
      <c r="Z2601" s="3"/>
      <c r="AA2601" s="3"/>
      <c r="AB2601" s="3"/>
    </row>
    <row r="2602" spans="1:28" x14ac:dyDescent="0.3">
      <c r="A2602" s="2"/>
      <c r="F2602" s="3"/>
      <c r="G2602" s="3"/>
      <c r="N2602" s="3"/>
      <c r="Q2602" s="3"/>
      <c r="R2602" s="3"/>
      <c r="S2602" s="3"/>
      <c r="V2602" s="3"/>
      <c r="W2602" s="3"/>
      <c r="X2602" s="3"/>
      <c r="Y2602" s="3"/>
      <c r="Z2602" s="3"/>
      <c r="AA2602" s="3"/>
      <c r="AB2602" s="3"/>
    </row>
    <row r="2603" spans="1:28" x14ac:dyDescent="0.3">
      <c r="A2603" s="2"/>
      <c r="F2603" s="3"/>
      <c r="G2603" s="3"/>
      <c r="N2603" s="3"/>
      <c r="Q2603" s="3"/>
      <c r="R2603" s="3"/>
      <c r="S2603" s="3"/>
      <c r="V2603" s="3"/>
      <c r="W2603" s="3"/>
      <c r="X2603" s="3"/>
      <c r="Y2603" s="3"/>
      <c r="Z2603" s="3"/>
      <c r="AA2603" s="3"/>
      <c r="AB2603" s="3"/>
    </row>
    <row r="2604" spans="1:28" x14ac:dyDescent="0.3">
      <c r="A2604" s="2"/>
      <c r="F2604" s="3"/>
      <c r="G2604" s="3"/>
      <c r="N2604" s="3"/>
      <c r="Q2604" s="3"/>
      <c r="R2604" s="3"/>
      <c r="S2604" s="3"/>
      <c r="V2604" s="3"/>
      <c r="W2604" s="3"/>
      <c r="X2604" s="3"/>
      <c r="Y2604" s="3"/>
      <c r="Z2604" s="3"/>
      <c r="AA2604" s="3"/>
      <c r="AB2604" s="3"/>
    </row>
    <row r="2605" spans="1:28" x14ac:dyDescent="0.3">
      <c r="A2605" s="2"/>
      <c r="F2605" s="3"/>
      <c r="G2605" s="3"/>
      <c r="N2605" s="3"/>
      <c r="Q2605" s="3"/>
      <c r="R2605" s="3"/>
      <c r="S2605" s="3"/>
      <c r="V2605" s="3"/>
      <c r="W2605" s="3"/>
      <c r="X2605" s="3"/>
      <c r="Y2605" s="3"/>
      <c r="Z2605" s="3"/>
      <c r="AA2605" s="3"/>
      <c r="AB2605" s="3"/>
    </row>
    <row r="2606" spans="1:28" x14ac:dyDescent="0.3">
      <c r="A2606" s="2"/>
      <c r="F2606" s="3"/>
      <c r="G2606" s="3"/>
      <c r="N2606" s="3"/>
      <c r="Q2606" s="3"/>
      <c r="R2606" s="3"/>
      <c r="S2606" s="3"/>
      <c r="V2606" s="3"/>
      <c r="W2606" s="3"/>
      <c r="X2606" s="3"/>
      <c r="Y2606" s="3"/>
      <c r="Z2606" s="3"/>
      <c r="AA2606" s="3"/>
      <c r="AB2606" s="3"/>
    </row>
    <row r="2607" spans="1:28" x14ac:dyDescent="0.3">
      <c r="A2607" s="2"/>
      <c r="F2607" s="3"/>
      <c r="G2607" s="3"/>
      <c r="N2607" s="3"/>
      <c r="Q2607" s="3"/>
      <c r="R2607" s="3"/>
      <c r="S2607" s="3"/>
      <c r="V2607" s="3"/>
      <c r="W2607" s="3"/>
      <c r="X2607" s="3"/>
      <c r="Y2607" s="3"/>
      <c r="Z2607" s="3"/>
      <c r="AA2607" s="3"/>
      <c r="AB2607" s="3"/>
    </row>
    <row r="2608" spans="1:28" x14ac:dyDescent="0.3">
      <c r="A2608" s="2"/>
      <c r="F2608" s="3"/>
      <c r="G2608" s="3"/>
      <c r="N2608" s="3"/>
      <c r="Q2608" s="3"/>
      <c r="R2608" s="3"/>
      <c r="S2608" s="3"/>
      <c r="V2608" s="3"/>
      <c r="W2608" s="3"/>
      <c r="X2608" s="3"/>
      <c r="Y2608" s="3"/>
      <c r="Z2608" s="3"/>
      <c r="AA2608" s="3"/>
      <c r="AB2608" s="3"/>
    </row>
    <row r="2609" spans="1:28" x14ac:dyDescent="0.3">
      <c r="A2609" s="2"/>
      <c r="F2609" s="3"/>
      <c r="G2609" s="3"/>
      <c r="N2609" s="3"/>
      <c r="Q2609" s="3"/>
      <c r="R2609" s="3"/>
      <c r="S2609" s="3"/>
      <c r="V2609" s="3"/>
      <c r="W2609" s="3"/>
      <c r="X2609" s="3"/>
      <c r="Y2609" s="3"/>
      <c r="Z2609" s="3"/>
      <c r="AA2609" s="3"/>
      <c r="AB2609" s="3"/>
    </row>
    <row r="2610" spans="1:28" x14ac:dyDescent="0.3">
      <c r="A2610" s="2"/>
      <c r="F2610" s="3"/>
      <c r="G2610" s="3"/>
      <c r="N2610" s="3"/>
      <c r="Q2610" s="3"/>
      <c r="R2610" s="3"/>
      <c r="S2610" s="3"/>
      <c r="V2610" s="3"/>
      <c r="W2610" s="3"/>
      <c r="X2610" s="3"/>
      <c r="Y2610" s="3"/>
      <c r="Z2610" s="3"/>
      <c r="AA2610" s="3"/>
      <c r="AB2610" s="3"/>
    </row>
    <row r="2611" spans="1:28" x14ac:dyDescent="0.3">
      <c r="A2611" s="2"/>
      <c r="F2611" s="3"/>
      <c r="G2611" s="3"/>
      <c r="N2611" s="3"/>
      <c r="Q2611" s="3"/>
      <c r="R2611" s="3"/>
      <c r="S2611" s="3"/>
      <c r="V2611" s="3"/>
      <c r="W2611" s="3"/>
      <c r="X2611" s="3"/>
      <c r="Y2611" s="3"/>
      <c r="Z2611" s="3"/>
      <c r="AA2611" s="3"/>
      <c r="AB2611" s="3"/>
    </row>
    <row r="2612" spans="1:28" x14ac:dyDescent="0.3">
      <c r="A2612" s="2"/>
      <c r="F2612" s="3"/>
      <c r="G2612" s="3"/>
      <c r="N2612" s="3"/>
      <c r="Q2612" s="3"/>
      <c r="R2612" s="3"/>
      <c r="S2612" s="3"/>
      <c r="V2612" s="3"/>
      <c r="W2612" s="3"/>
      <c r="X2612" s="3"/>
      <c r="Y2612" s="3"/>
      <c r="Z2612" s="3"/>
      <c r="AA2612" s="3"/>
      <c r="AB2612" s="3"/>
    </row>
    <row r="2613" spans="1:28" x14ac:dyDescent="0.3">
      <c r="A2613" s="2"/>
      <c r="F2613" s="3"/>
      <c r="G2613" s="3"/>
      <c r="N2613" s="3"/>
      <c r="Q2613" s="3"/>
      <c r="R2613" s="3"/>
      <c r="S2613" s="3"/>
      <c r="V2613" s="3"/>
      <c r="W2613" s="3"/>
      <c r="X2613" s="3"/>
      <c r="Y2613" s="3"/>
      <c r="Z2613" s="3"/>
      <c r="AA2613" s="3"/>
      <c r="AB2613" s="3"/>
    </row>
    <row r="2614" spans="1:28" x14ac:dyDescent="0.3">
      <c r="A2614" s="2"/>
      <c r="F2614" s="3"/>
      <c r="G2614" s="3"/>
      <c r="N2614" s="3"/>
      <c r="Q2614" s="3"/>
      <c r="R2614" s="3"/>
      <c r="S2614" s="3"/>
      <c r="V2614" s="3"/>
      <c r="W2614" s="3"/>
      <c r="X2614" s="3"/>
      <c r="Y2614" s="3"/>
      <c r="Z2614" s="3"/>
      <c r="AA2614" s="3"/>
      <c r="AB2614" s="3"/>
    </row>
    <row r="2615" spans="1:28" x14ac:dyDescent="0.3">
      <c r="A2615" s="2"/>
      <c r="F2615" s="3"/>
      <c r="G2615" s="3"/>
      <c r="N2615" s="3"/>
      <c r="Q2615" s="3"/>
      <c r="R2615" s="3"/>
      <c r="S2615" s="3"/>
      <c r="V2615" s="3"/>
      <c r="W2615" s="3"/>
      <c r="X2615" s="3"/>
      <c r="Y2615" s="3"/>
      <c r="Z2615" s="3"/>
      <c r="AA2615" s="3"/>
      <c r="AB2615" s="3"/>
    </row>
    <row r="2616" spans="1:28" x14ac:dyDescent="0.3">
      <c r="A2616" s="2"/>
      <c r="F2616" s="3"/>
      <c r="G2616" s="3"/>
      <c r="N2616" s="3"/>
      <c r="Q2616" s="3"/>
      <c r="R2616" s="3"/>
      <c r="S2616" s="3"/>
      <c r="V2616" s="3"/>
      <c r="W2616" s="3"/>
      <c r="X2616" s="3"/>
      <c r="Y2616" s="3"/>
      <c r="Z2616" s="3"/>
      <c r="AA2616" s="3"/>
      <c r="AB2616" s="3"/>
    </row>
    <row r="2617" spans="1:28" x14ac:dyDescent="0.3">
      <c r="A2617" s="2"/>
      <c r="F2617" s="3"/>
      <c r="G2617" s="3"/>
      <c r="N2617" s="3"/>
      <c r="Q2617" s="3"/>
      <c r="R2617" s="3"/>
      <c r="S2617" s="3"/>
      <c r="V2617" s="3"/>
      <c r="W2617" s="3"/>
      <c r="X2617" s="3"/>
      <c r="Y2617" s="3"/>
      <c r="Z2617" s="3"/>
      <c r="AA2617" s="3"/>
      <c r="AB2617" s="3"/>
    </row>
    <row r="2618" spans="1:28" x14ac:dyDescent="0.3">
      <c r="A2618" s="2"/>
      <c r="F2618" s="3"/>
      <c r="G2618" s="3"/>
      <c r="N2618" s="3"/>
      <c r="Q2618" s="3"/>
      <c r="R2618" s="3"/>
      <c r="S2618" s="3"/>
      <c r="V2618" s="3"/>
      <c r="W2618" s="3"/>
      <c r="X2618" s="3"/>
      <c r="Y2618" s="3"/>
      <c r="Z2618" s="3"/>
      <c r="AA2618" s="3"/>
      <c r="AB2618" s="3"/>
    </row>
    <row r="2619" spans="1:28" x14ac:dyDescent="0.3">
      <c r="A2619" s="2"/>
      <c r="F2619" s="3"/>
      <c r="G2619" s="3"/>
      <c r="N2619" s="3"/>
      <c r="Q2619" s="3"/>
      <c r="R2619" s="3"/>
      <c r="S2619" s="3"/>
      <c r="V2619" s="3"/>
      <c r="W2619" s="3"/>
      <c r="X2619" s="3"/>
      <c r="Y2619" s="3"/>
      <c r="Z2619" s="3"/>
      <c r="AA2619" s="3"/>
      <c r="AB2619" s="3"/>
    </row>
    <row r="2620" spans="1:28" x14ac:dyDescent="0.3">
      <c r="A2620" s="2"/>
      <c r="F2620" s="3"/>
      <c r="G2620" s="3"/>
      <c r="N2620" s="3"/>
      <c r="Q2620" s="3"/>
      <c r="R2620" s="3"/>
      <c r="S2620" s="3"/>
      <c r="V2620" s="3"/>
      <c r="W2620" s="3"/>
      <c r="X2620" s="3"/>
      <c r="Y2620" s="3"/>
      <c r="Z2620" s="3"/>
      <c r="AA2620" s="3"/>
      <c r="AB2620" s="3"/>
    </row>
    <row r="2621" spans="1:28" x14ac:dyDescent="0.3">
      <c r="A2621" s="2"/>
      <c r="F2621" s="3"/>
      <c r="G2621" s="3"/>
      <c r="N2621" s="3"/>
      <c r="Q2621" s="3"/>
      <c r="R2621" s="3"/>
      <c r="S2621" s="3"/>
      <c r="V2621" s="3"/>
      <c r="W2621" s="3"/>
      <c r="X2621" s="3"/>
      <c r="Y2621" s="3"/>
      <c r="Z2621" s="3"/>
      <c r="AA2621" s="3"/>
      <c r="AB2621" s="3"/>
    </row>
    <row r="2622" spans="1:28" x14ac:dyDescent="0.3">
      <c r="A2622" s="2"/>
      <c r="F2622" s="3"/>
      <c r="G2622" s="3"/>
      <c r="N2622" s="3"/>
      <c r="Q2622" s="3"/>
      <c r="R2622" s="3"/>
      <c r="S2622" s="3"/>
      <c r="V2622" s="3"/>
      <c r="W2622" s="3"/>
      <c r="X2622" s="3"/>
      <c r="Y2622" s="3"/>
      <c r="Z2622" s="3"/>
      <c r="AA2622" s="3"/>
      <c r="AB2622" s="3"/>
    </row>
    <row r="2623" spans="1:28" x14ac:dyDescent="0.3">
      <c r="A2623" s="2"/>
      <c r="F2623" s="3"/>
      <c r="G2623" s="3"/>
      <c r="N2623" s="3"/>
      <c r="Q2623" s="3"/>
      <c r="R2623" s="3"/>
      <c r="S2623" s="3"/>
      <c r="V2623" s="3"/>
      <c r="W2623" s="3"/>
      <c r="X2623" s="3"/>
      <c r="Y2623" s="3"/>
      <c r="Z2623" s="3"/>
      <c r="AA2623" s="3"/>
      <c r="AB2623" s="3"/>
    </row>
    <row r="2624" spans="1:28" x14ac:dyDescent="0.3">
      <c r="A2624" s="2"/>
      <c r="F2624" s="3"/>
      <c r="G2624" s="3"/>
      <c r="N2624" s="3"/>
      <c r="Q2624" s="3"/>
      <c r="R2624" s="3"/>
      <c r="S2624" s="3"/>
      <c r="V2624" s="3"/>
      <c r="W2624" s="3"/>
      <c r="X2624" s="3"/>
      <c r="Y2624" s="3"/>
      <c r="Z2624" s="3"/>
      <c r="AA2624" s="3"/>
      <c r="AB2624" s="3"/>
    </row>
    <row r="2625" spans="1:28" x14ac:dyDescent="0.3">
      <c r="A2625" s="2"/>
      <c r="F2625" s="3"/>
      <c r="G2625" s="3"/>
      <c r="N2625" s="3"/>
      <c r="Q2625" s="3"/>
      <c r="R2625" s="3"/>
      <c r="S2625" s="3"/>
      <c r="V2625" s="3"/>
      <c r="W2625" s="3"/>
      <c r="X2625" s="3"/>
      <c r="Y2625" s="3"/>
      <c r="Z2625" s="3"/>
      <c r="AA2625" s="3"/>
      <c r="AB2625" s="3"/>
    </row>
    <row r="2626" spans="1:28" x14ac:dyDescent="0.3">
      <c r="A2626" s="2"/>
      <c r="F2626" s="3"/>
      <c r="G2626" s="3"/>
      <c r="N2626" s="3"/>
      <c r="Q2626" s="3"/>
      <c r="R2626" s="3"/>
      <c r="S2626" s="3"/>
      <c r="V2626" s="3"/>
      <c r="W2626" s="3"/>
      <c r="X2626" s="3"/>
      <c r="Y2626" s="3"/>
      <c r="Z2626" s="3"/>
      <c r="AA2626" s="3"/>
      <c r="AB2626" s="3"/>
    </row>
    <row r="2627" spans="1:28" x14ac:dyDescent="0.3">
      <c r="A2627" s="2"/>
      <c r="F2627" s="3"/>
      <c r="G2627" s="3"/>
      <c r="N2627" s="3"/>
      <c r="Q2627" s="3"/>
      <c r="R2627" s="3"/>
      <c r="S2627" s="3"/>
      <c r="V2627" s="3"/>
      <c r="W2627" s="3"/>
      <c r="X2627" s="3"/>
      <c r="Y2627" s="3"/>
      <c r="Z2627" s="3"/>
      <c r="AA2627" s="3"/>
      <c r="AB2627" s="3"/>
    </row>
    <row r="2628" spans="1:28" x14ac:dyDescent="0.3">
      <c r="A2628" s="2"/>
      <c r="F2628" s="3"/>
      <c r="G2628" s="3"/>
      <c r="N2628" s="3"/>
      <c r="Q2628" s="3"/>
      <c r="R2628" s="3"/>
      <c r="S2628" s="3"/>
      <c r="V2628" s="3"/>
      <c r="W2628" s="3"/>
      <c r="X2628" s="3"/>
      <c r="Y2628" s="3"/>
      <c r="Z2628" s="3"/>
      <c r="AA2628" s="3"/>
      <c r="AB2628" s="3"/>
    </row>
    <row r="2629" spans="1:28" x14ac:dyDescent="0.3">
      <c r="A2629" s="2"/>
      <c r="F2629" s="3"/>
      <c r="G2629" s="3"/>
      <c r="N2629" s="3"/>
      <c r="Q2629" s="3"/>
      <c r="R2629" s="3"/>
      <c r="S2629" s="3"/>
      <c r="V2629" s="3"/>
      <c r="W2629" s="3"/>
      <c r="X2629" s="3"/>
      <c r="Y2629" s="3"/>
      <c r="Z2629" s="3"/>
      <c r="AA2629" s="3"/>
      <c r="AB2629" s="3"/>
    </row>
    <row r="2630" spans="1:28" x14ac:dyDescent="0.3">
      <c r="A2630" s="2"/>
      <c r="F2630" s="3"/>
      <c r="G2630" s="3"/>
      <c r="N2630" s="3"/>
      <c r="Q2630" s="3"/>
      <c r="R2630" s="3"/>
      <c r="S2630" s="3"/>
      <c r="V2630" s="3"/>
      <c r="W2630" s="3"/>
      <c r="X2630" s="3"/>
      <c r="Y2630" s="3"/>
      <c r="Z2630" s="3"/>
      <c r="AA2630" s="3"/>
      <c r="AB2630" s="3"/>
    </row>
    <row r="2631" spans="1:28" x14ac:dyDescent="0.3">
      <c r="A2631" s="2"/>
      <c r="F2631" s="3"/>
      <c r="G2631" s="3"/>
      <c r="N2631" s="3"/>
      <c r="Q2631" s="3"/>
      <c r="R2631" s="3"/>
      <c r="S2631" s="3"/>
      <c r="V2631" s="3"/>
      <c r="W2631" s="3"/>
      <c r="X2631" s="3"/>
      <c r="Y2631" s="3"/>
      <c r="Z2631" s="3"/>
      <c r="AA2631" s="3"/>
      <c r="AB2631" s="3"/>
    </row>
    <row r="2632" spans="1:28" x14ac:dyDescent="0.3">
      <c r="A2632" s="2"/>
      <c r="F2632" s="3"/>
      <c r="G2632" s="3"/>
      <c r="N2632" s="3"/>
      <c r="Q2632" s="3"/>
      <c r="R2632" s="3"/>
      <c r="S2632" s="3"/>
      <c r="V2632" s="3"/>
      <c r="W2632" s="3"/>
      <c r="X2632" s="3"/>
      <c r="Y2632" s="3"/>
      <c r="Z2632" s="3"/>
      <c r="AA2632" s="3"/>
      <c r="AB2632" s="3"/>
    </row>
    <row r="2633" spans="1:28" x14ac:dyDescent="0.3">
      <c r="A2633" s="2"/>
      <c r="F2633" s="3"/>
      <c r="G2633" s="3"/>
      <c r="N2633" s="3"/>
      <c r="Q2633" s="3"/>
      <c r="R2633" s="3"/>
      <c r="S2633" s="3"/>
      <c r="V2633" s="3"/>
      <c r="W2633" s="3"/>
      <c r="X2633" s="3"/>
      <c r="Y2633" s="3"/>
      <c r="Z2633" s="3"/>
      <c r="AA2633" s="3"/>
      <c r="AB2633" s="3"/>
    </row>
    <row r="2634" spans="1:28" x14ac:dyDescent="0.3">
      <c r="A2634" s="2"/>
      <c r="F2634" s="3"/>
      <c r="G2634" s="3"/>
      <c r="N2634" s="3"/>
      <c r="Q2634" s="3"/>
      <c r="R2634" s="3"/>
      <c r="S2634" s="3"/>
      <c r="V2634" s="3"/>
      <c r="W2634" s="3"/>
      <c r="X2634" s="3"/>
      <c r="Y2634" s="3"/>
      <c r="Z2634" s="3"/>
      <c r="AA2634" s="3"/>
      <c r="AB2634" s="3"/>
    </row>
    <row r="2635" spans="1:28" x14ac:dyDescent="0.3">
      <c r="A2635" s="2"/>
      <c r="F2635" s="3"/>
      <c r="G2635" s="3"/>
      <c r="N2635" s="3"/>
      <c r="Q2635" s="3"/>
      <c r="R2635" s="3"/>
      <c r="S2635" s="3"/>
      <c r="V2635" s="3"/>
      <c r="W2635" s="3"/>
      <c r="X2635" s="3"/>
      <c r="Y2635" s="3"/>
      <c r="Z2635" s="3"/>
      <c r="AA2635" s="3"/>
      <c r="AB2635" s="3"/>
    </row>
    <row r="2636" spans="1:28" x14ac:dyDescent="0.3">
      <c r="A2636" s="2"/>
      <c r="F2636" s="3"/>
      <c r="G2636" s="3"/>
      <c r="N2636" s="3"/>
      <c r="Q2636" s="3"/>
      <c r="R2636" s="3"/>
      <c r="S2636" s="3"/>
      <c r="V2636" s="3"/>
      <c r="W2636" s="3"/>
      <c r="X2636" s="3"/>
      <c r="Y2636" s="3"/>
      <c r="Z2636" s="3"/>
      <c r="AA2636" s="3"/>
      <c r="AB2636" s="3"/>
    </row>
    <row r="2637" spans="1:28" x14ac:dyDescent="0.3">
      <c r="A2637" s="2"/>
      <c r="F2637" s="3"/>
      <c r="G2637" s="3"/>
      <c r="N2637" s="3"/>
      <c r="Q2637" s="3"/>
      <c r="R2637" s="3"/>
      <c r="S2637" s="3"/>
      <c r="V2637" s="3"/>
      <c r="W2637" s="3"/>
      <c r="X2637" s="3"/>
      <c r="Y2637" s="3"/>
      <c r="Z2637" s="3"/>
      <c r="AA2637" s="3"/>
      <c r="AB2637" s="3"/>
    </row>
    <row r="2638" spans="1:28" x14ac:dyDescent="0.3">
      <c r="A2638" s="2"/>
      <c r="F2638" s="3"/>
      <c r="G2638" s="3"/>
      <c r="N2638" s="3"/>
      <c r="Q2638" s="3"/>
      <c r="R2638" s="3"/>
      <c r="S2638" s="3"/>
      <c r="V2638" s="3"/>
      <c r="W2638" s="3"/>
      <c r="X2638" s="3"/>
      <c r="Y2638" s="3"/>
      <c r="Z2638" s="3"/>
      <c r="AA2638" s="3"/>
      <c r="AB2638" s="3"/>
    </row>
    <row r="2639" spans="1:28" x14ac:dyDescent="0.3">
      <c r="A2639" s="2"/>
      <c r="F2639" s="3"/>
      <c r="G2639" s="3"/>
      <c r="N2639" s="3"/>
      <c r="Q2639" s="3"/>
      <c r="R2639" s="3"/>
      <c r="S2639" s="3"/>
      <c r="V2639" s="3"/>
      <c r="W2639" s="3"/>
      <c r="X2639" s="3"/>
      <c r="Y2639" s="3"/>
      <c r="Z2639" s="3"/>
      <c r="AA2639" s="3"/>
      <c r="AB2639" s="3"/>
    </row>
    <row r="2640" spans="1:28" x14ac:dyDescent="0.3">
      <c r="A2640" s="2"/>
      <c r="F2640" s="3"/>
      <c r="G2640" s="3"/>
      <c r="N2640" s="3"/>
      <c r="Q2640" s="3"/>
      <c r="R2640" s="3"/>
      <c r="S2640" s="3"/>
      <c r="V2640" s="3"/>
      <c r="W2640" s="3"/>
      <c r="X2640" s="3"/>
      <c r="Y2640" s="3"/>
      <c r="Z2640" s="3"/>
      <c r="AA2640" s="3"/>
      <c r="AB2640" s="3"/>
    </row>
    <row r="2641" spans="1:28" x14ac:dyDescent="0.3">
      <c r="A2641" s="2"/>
      <c r="F2641" s="3"/>
      <c r="G2641" s="3"/>
      <c r="N2641" s="3"/>
      <c r="Q2641" s="3"/>
      <c r="R2641" s="3"/>
      <c r="S2641" s="3"/>
      <c r="V2641" s="3"/>
      <c r="W2641" s="3"/>
      <c r="X2641" s="3"/>
      <c r="Y2641" s="3"/>
      <c r="Z2641" s="3"/>
      <c r="AA2641" s="3"/>
      <c r="AB2641" s="3"/>
    </row>
    <row r="2642" spans="1:28" x14ac:dyDescent="0.3">
      <c r="A2642" s="2"/>
      <c r="F2642" s="3"/>
      <c r="G2642" s="3"/>
      <c r="N2642" s="3"/>
      <c r="Q2642" s="3"/>
      <c r="R2642" s="3"/>
      <c r="S2642" s="3"/>
      <c r="V2642" s="3"/>
      <c r="W2642" s="3"/>
      <c r="X2642" s="3"/>
      <c r="Y2642" s="3"/>
      <c r="Z2642" s="3"/>
      <c r="AA2642" s="3"/>
      <c r="AB2642" s="3"/>
    </row>
    <row r="2643" spans="1:28" x14ac:dyDescent="0.3">
      <c r="A2643" s="2"/>
      <c r="F2643" s="3"/>
      <c r="G2643" s="3"/>
      <c r="N2643" s="3"/>
      <c r="Q2643" s="3"/>
      <c r="R2643" s="3"/>
      <c r="S2643" s="3"/>
      <c r="V2643" s="3"/>
      <c r="W2643" s="3"/>
      <c r="X2643" s="3"/>
      <c r="Y2643" s="3"/>
      <c r="Z2643" s="3"/>
      <c r="AA2643" s="3"/>
      <c r="AB2643" s="3"/>
    </row>
    <row r="2644" spans="1:28" x14ac:dyDescent="0.3">
      <c r="A2644" s="2"/>
      <c r="F2644" s="3"/>
      <c r="G2644" s="3"/>
      <c r="N2644" s="3"/>
      <c r="Q2644" s="3"/>
      <c r="R2644" s="3"/>
      <c r="S2644" s="3"/>
      <c r="V2644" s="3"/>
      <c r="W2644" s="3"/>
      <c r="X2644" s="3"/>
      <c r="Y2644" s="3"/>
      <c r="Z2644" s="3"/>
      <c r="AA2644" s="3"/>
      <c r="AB2644" s="3"/>
    </row>
    <row r="2645" spans="1:28" x14ac:dyDescent="0.3">
      <c r="A2645" s="2"/>
      <c r="F2645" s="3"/>
      <c r="G2645" s="3"/>
      <c r="N2645" s="3"/>
      <c r="Q2645" s="3"/>
      <c r="R2645" s="3"/>
      <c r="S2645" s="3"/>
      <c r="V2645" s="3"/>
      <c r="W2645" s="3"/>
      <c r="X2645" s="3"/>
      <c r="Y2645" s="3"/>
      <c r="Z2645" s="3"/>
      <c r="AA2645" s="3"/>
      <c r="AB2645" s="3"/>
    </row>
    <row r="2646" spans="1:28" x14ac:dyDescent="0.3">
      <c r="A2646" s="2"/>
      <c r="F2646" s="3"/>
      <c r="G2646" s="3"/>
      <c r="N2646" s="3"/>
      <c r="Q2646" s="3"/>
      <c r="R2646" s="3"/>
      <c r="S2646" s="3"/>
      <c r="V2646" s="3"/>
      <c r="W2646" s="3"/>
      <c r="X2646" s="3"/>
      <c r="Y2646" s="3"/>
      <c r="Z2646" s="3"/>
      <c r="AA2646" s="3"/>
      <c r="AB2646" s="3"/>
    </row>
    <row r="2647" spans="1:28" x14ac:dyDescent="0.3">
      <c r="A2647" s="2"/>
      <c r="F2647" s="3"/>
      <c r="G2647" s="3"/>
      <c r="N2647" s="3"/>
      <c r="Q2647" s="3"/>
      <c r="R2647" s="3"/>
      <c r="S2647" s="3"/>
      <c r="V2647" s="3"/>
      <c r="W2647" s="3"/>
      <c r="X2647" s="3"/>
      <c r="Y2647" s="3"/>
      <c r="Z2647" s="3"/>
      <c r="AA2647" s="3"/>
      <c r="AB2647" s="3"/>
    </row>
    <row r="2648" spans="1:28" x14ac:dyDescent="0.3">
      <c r="A2648" s="2"/>
      <c r="F2648" s="3"/>
      <c r="G2648" s="3"/>
      <c r="N2648" s="3"/>
      <c r="Q2648" s="3"/>
      <c r="R2648" s="3"/>
      <c r="S2648" s="3"/>
      <c r="V2648" s="3"/>
      <c r="W2648" s="3"/>
      <c r="X2648" s="3"/>
      <c r="Y2648" s="3"/>
      <c r="Z2648" s="3"/>
      <c r="AA2648" s="3"/>
      <c r="AB2648" s="3"/>
    </row>
    <row r="2649" spans="1:28" x14ac:dyDescent="0.3">
      <c r="A2649" s="2"/>
      <c r="F2649" s="3"/>
      <c r="G2649" s="3"/>
      <c r="N2649" s="3"/>
      <c r="Q2649" s="3"/>
      <c r="R2649" s="3"/>
      <c r="S2649" s="3"/>
      <c r="V2649" s="3"/>
      <c r="W2649" s="3"/>
      <c r="X2649" s="3"/>
      <c r="Y2649" s="3"/>
      <c r="Z2649" s="3"/>
      <c r="AA2649" s="3"/>
      <c r="AB2649" s="3"/>
    </row>
    <row r="2650" spans="1:28" x14ac:dyDescent="0.3">
      <c r="A2650" s="2"/>
      <c r="F2650" s="3"/>
      <c r="G2650" s="3"/>
      <c r="N2650" s="3"/>
      <c r="Q2650" s="3"/>
      <c r="R2650" s="3"/>
      <c r="S2650" s="3"/>
      <c r="V2650" s="3"/>
      <c r="W2650" s="3"/>
      <c r="X2650" s="3"/>
      <c r="Y2650" s="3"/>
      <c r="Z2650" s="3"/>
      <c r="AA2650" s="3"/>
      <c r="AB2650" s="3"/>
    </row>
    <row r="2651" spans="1:28" x14ac:dyDescent="0.3">
      <c r="A2651" s="2"/>
      <c r="F2651" s="3"/>
      <c r="G2651" s="3"/>
      <c r="N2651" s="3"/>
      <c r="Q2651" s="3"/>
      <c r="R2651" s="3"/>
      <c r="S2651" s="3"/>
      <c r="V2651" s="3"/>
      <c r="W2651" s="3"/>
      <c r="X2651" s="3"/>
      <c r="Y2651" s="3"/>
      <c r="Z2651" s="3"/>
      <c r="AA2651" s="3"/>
      <c r="AB2651" s="3"/>
    </row>
    <row r="2652" spans="1:28" x14ac:dyDescent="0.3">
      <c r="A2652" s="2"/>
      <c r="F2652" s="3"/>
      <c r="G2652" s="3"/>
      <c r="N2652" s="3"/>
      <c r="Q2652" s="3"/>
      <c r="R2652" s="3"/>
      <c r="S2652" s="3"/>
      <c r="V2652" s="3"/>
      <c r="W2652" s="3"/>
      <c r="X2652" s="3"/>
      <c r="Y2652" s="3"/>
      <c r="Z2652" s="3"/>
      <c r="AA2652" s="3"/>
      <c r="AB2652" s="3"/>
    </row>
    <row r="2653" spans="1:28" x14ac:dyDescent="0.3">
      <c r="A2653" s="2"/>
      <c r="F2653" s="3"/>
      <c r="G2653" s="3"/>
      <c r="N2653" s="3"/>
      <c r="Q2653" s="3"/>
      <c r="R2653" s="3"/>
      <c r="S2653" s="3"/>
      <c r="V2653" s="3"/>
      <c r="W2653" s="3"/>
      <c r="X2653" s="3"/>
      <c r="Y2653" s="3"/>
      <c r="Z2653" s="3"/>
      <c r="AA2653" s="3"/>
      <c r="AB2653" s="3"/>
    </row>
    <row r="2654" spans="1:28" x14ac:dyDescent="0.3">
      <c r="A2654" s="2"/>
      <c r="F2654" s="3"/>
      <c r="G2654" s="3"/>
      <c r="N2654" s="3"/>
      <c r="Q2654" s="3"/>
      <c r="R2654" s="3"/>
      <c r="S2654" s="3"/>
      <c r="V2654" s="3"/>
      <c r="W2654" s="3"/>
      <c r="X2654" s="3"/>
      <c r="Y2654" s="3"/>
      <c r="Z2654" s="3"/>
      <c r="AA2654" s="3"/>
      <c r="AB2654" s="3"/>
    </row>
    <row r="2655" spans="1:28" x14ac:dyDescent="0.3">
      <c r="A2655" s="2"/>
      <c r="F2655" s="3"/>
      <c r="G2655" s="3"/>
      <c r="N2655" s="3"/>
      <c r="Q2655" s="3"/>
      <c r="R2655" s="3"/>
      <c r="S2655" s="3"/>
      <c r="V2655" s="3"/>
      <c r="W2655" s="3"/>
      <c r="X2655" s="3"/>
      <c r="Y2655" s="3"/>
      <c r="Z2655" s="3"/>
      <c r="AA2655" s="3"/>
      <c r="AB2655" s="3"/>
    </row>
    <row r="2656" spans="1:28" x14ac:dyDescent="0.3">
      <c r="A2656" s="2"/>
      <c r="F2656" s="3"/>
      <c r="G2656" s="3"/>
      <c r="N2656" s="3"/>
      <c r="Q2656" s="3"/>
      <c r="R2656" s="3"/>
      <c r="S2656" s="3"/>
      <c r="V2656" s="3"/>
      <c r="W2656" s="3"/>
      <c r="X2656" s="3"/>
      <c r="Y2656" s="3"/>
      <c r="Z2656" s="3"/>
      <c r="AA2656" s="3"/>
      <c r="AB2656" s="3"/>
    </row>
    <row r="2657" spans="1:28" x14ac:dyDescent="0.3">
      <c r="A2657" s="2"/>
      <c r="F2657" s="3"/>
      <c r="G2657" s="3"/>
      <c r="N2657" s="3"/>
      <c r="Q2657" s="3"/>
      <c r="R2657" s="3"/>
      <c r="S2657" s="3"/>
      <c r="V2657" s="3"/>
      <c r="W2657" s="3"/>
      <c r="X2657" s="3"/>
      <c r="Y2657" s="3"/>
      <c r="Z2657" s="3"/>
      <c r="AA2657" s="3"/>
      <c r="AB2657" s="3"/>
    </row>
    <row r="2658" spans="1:28" x14ac:dyDescent="0.3">
      <c r="A2658" s="2"/>
      <c r="F2658" s="3"/>
      <c r="G2658" s="3"/>
      <c r="N2658" s="3"/>
      <c r="Q2658" s="3"/>
      <c r="R2658" s="3"/>
      <c r="S2658" s="3"/>
      <c r="V2658" s="3"/>
      <c r="W2658" s="3"/>
      <c r="X2658" s="3"/>
      <c r="Y2658" s="3"/>
      <c r="Z2658" s="3"/>
      <c r="AA2658" s="3"/>
      <c r="AB2658" s="3"/>
    </row>
    <row r="2659" spans="1:28" x14ac:dyDescent="0.3">
      <c r="A2659" s="2"/>
      <c r="F2659" s="3"/>
      <c r="G2659" s="3"/>
      <c r="N2659" s="3"/>
      <c r="Q2659" s="3"/>
      <c r="R2659" s="3"/>
      <c r="S2659" s="3"/>
      <c r="V2659" s="3"/>
      <c r="W2659" s="3"/>
      <c r="X2659" s="3"/>
      <c r="Y2659" s="3"/>
      <c r="Z2659" s="3"/>
      <c r="AA2659" s="3"/>
      <c r="AB2659" s="3"/>
    </row>
    <row r="2660" spans="1:28" x14ac:dyDescent="0.3">
      <c r="A2660" s="2"/>
      <c r="F2660" s="3"/>
      <c r="G2660" s="3"/>
      <c r="N2660" s="3"/>
      <c r="Q2660" s="3"/>
      <c r="R2660" s="3"/>
      <c r="S2660" s="3"/>
      <c r="V2660" s="3"/>
      <c r="W2660" s="3"/>
      <c r="X2660" s="3"/>
      <c r="Y2660" s="3"/>
      <c r="Z2660" s="3"/>
      <c r="AA2660" s="3"/>
      <c r="AB2660" s="3"/>
    </row>
    <row r="2661" spans="1:28" x14ac:dyDescent="0.3">
      <c r="A2661" s="2"/>
      <c r="F2661" s="3"/>
      <c r="G2661" s="3"/>
      <c r="N2661" s="3"/>
      <c r="Q2661" s="3"/>
      <c r="R2661" s="3"/>
      <c r="S2661" s="3"/>
      <c r="V2661" s="3"/>
      <c r="W2661" s="3"/>
      <c r="X2661" s="3"/>
      <c r="Y2661" s="3"/>
      <c r="Z2661" s="3"/>
      <c r="AA2661" s="3"/>
      <c r="AB2661" s="3"/>
    </row>
    <row r="2662" spans="1:28" x14ac:dyDescent="0.3">
      <c r="A2662" s="2"/>
      <c r="F2662" s="3"/>
      <c r="G2662" s="3"/>
      <c r="N2662" s="3"/>
      <c r="Q2662" s="3"/>
      <c r="R2662" s="3"/>
      <c r="S2662" s="3"/>
      <c r="V2662" s="3"/>
      <c r="W2662" s="3"/>
      <c r="X2662" s="3"/>
      <c r="Y2662" s="3"/>
      <c r="Z2662" s="3"/>
      <c r="AA2662" s="3"/>
      <c r="AB2662" s="3"/>
    </row>
    <row r="2663" spans="1:28" x14ac:dyDescent="0.3">
      <c r="A2663" s="2"/>
      <c r="F2663" s="3"/>
      <c r="G2663" s="3"/>
      <c r="N2663" s="3"/>
      <c r="Q2663" s="3"/>
      <c r="R2663" s="3"/>
      <c r="S2663" s="3"/>
      <c r="V2663" s="3"/>
      <c r="W2663" s="3"/>
      <c r="X2663" s="3"/>
      <c r="Y2663" s="3"/>
      <c r="Z2663" s="3"/>
      <c r="AA2663" s="3"/>
      <c r="AB2663" s="3"/>
    </row>
    <row r="2664" spans="1:28" x14ac:dyDescent="0.3">
      <c r="A2664" s="2"/>
      <c r="F2664" s="3"/>
      <c r="G2664" s="3"/>
      <c r="N2664" s="3"/>
      <c r="Q2664" s="3"/>
      <c r="R2664" s="3"/>
      <c r="S2664" s="3"/>
      <c r="V2664" s="3"/>
      <c r="W2664" s="3"/>
      <c r="X2664" s="3"/>
      <c r="Y2664" s="3"/>
      <c r="Z2664" s="3"/>
      <c r="AA2664" s="3"/>
      <c r="AB2664" s="3"/>
    </row>
    <row r="2665" spans="1:28" x14ac:dyDescent="0.3">
      <c r="A2665" s="2"/>
      <c r="F2665" s="3"/>
      <c r="G2665" s="3"/>
      <c r="N2665" s="3"/>
      <c r="Q2665" s="3"/>
      <c r="R2665" s="3"/>
      <c r="S2665" s="3"/>
      <c r="V2665" s="3"/>
      <c r="W2665" s="3"/>
      <c r="X2665" s="3"/>
      <c r="Y2665" s="3"/>
      <c r="Z2665" s="3"/>
      <c r="AA2665" s="3"/>
      <c r="AB2665" s="3"/>
    </row>
    <row r="2666" spans="1:28" x14ac:dyDescent="0.3">
      <c r="A2666" s="2"/>
      <c r="F2666" s="3"/>
      <c r="G2666" s="3"/>
      <c r="N2666" s="3"/>
      <c r="Q2666" s="3"/>
      <c r="R2666" s="3"/>
      <c r="S2666" s="3"/>
      <c r="V2666" s="3"/>
      <c r="W2666" s="3"/>
      <c r="X2666" s="3"/>
      <c r="Y2666" s="3"/>
      <c r="Z2666" s="3"/>
      <c r="AA2666" s="3"/>
      <c r="AB2666" s="3"/>
    </row>
    <row r="2667" spans="1:28" x14ac:dyDescent="0.3">
      <c r="A2667" s="2"/>
      <c r="F2667" s="3"/>
      <c r="G2667" s="3"/>
      <c r="N2667" s="3"/>
      <c r="Q2667" s="3"/>
      <c r="R2667" s="3"/>
      <c r="S2667" s="3"/>
      <c r="V2667" s="3"/>
      <c r="W2667" s="3"/>
      <c r="X2667" s="3"/>
      <c r="Y2667" s="3"/>
      <c r="Z2667" s="3"/>
      <c r="AA2667" s="3"/>
      <c r="AB2667" s="3"/>
    </row>
    <row r="2668" spans="1:28" x14ac:dyDescent="0.3">
      <c r="A2668" s="2"/>
      <c r="F2668" s="3"/>
      <c r="G2668" s="3"/>
      <c r="N2668" s="3"/>
      <c r="Q2668" s="3"/>
      <c r="R2668" s="3"/>
      <c r="S2668" s="3"/>
      <c r="V2668" s="3"/>
      <c r="W2668" s="3"/>
      <c r="X2668" s="3"/>
      <c r="Y2668" s="3"/>
      <c r="Z2668" s="3"/>
      <c r="AA2668" s="3"/>
      <c r="AB2668" s="3"/>
    </row>
    <row r="2669" spans="1:28" x14ac:dyDescent="0.3">
      <c r="A2669" s="2"/>
      <c r="F2669" s="3"/>
      <c r="G2669" s="3"/>
      <c r="N2669" s="3"/>
      <c r="Q2669" s="3"/>
      <c r="R2669" s="3"/>
      <c r="S2669" s="3"/>
      <c r="V2669" s="3"/>
      <c r="W2669" s="3"/>
      <c r="X2669" s="3"/>
      <c r="Y2669" s="3"/>
      <c r="Z2669" s="3"/>
      <c r="AA2669" s="3"/>
      <c r="AB2669" s="3"/>
    </row>
    <row r="2670" spans="1:28" x14ac:dyDescent="0.3">
      <c r="A2670" s="2"/>
      <c r="F2670" s="3"/>
      <c r="G2670" s="3"/>
      <c r="N2670" s="3"/>
      <c r="Q2670" s="3"/>
      <c r="R2670" s="3"/>
      <c r="S2670" s="3"/>
      <c r="V2670" s="3"/>
      <c r="W2670" s="3"/>
      <c r="X2670" s="3"/>
      <c r="Y2670" s="3"/>
      <c r="Z2670" s="3"/>
      <c r="AA2670" s="3"/>
      <c r="AB2670" s="3"/>
    </row>
    <row r="2671" spans="1:28" x14ac:dyDescent="0.3">
      <c r="A2671" s="2"/>
      <c r="F2671" s="3"/>
      <c r="G2671" s="3"/>
      <c r="N2671" s="3"/>
      <c r="Q2671" s="3"/>
      <c r="R2671" s="3"/>
      <c r="S2671" s="3"/>
      <c r="V2671" s="3"/>
      <c r="W2671" s="3"/>
      <c r="X2671" s="3"/>
      <c r="Y2671" s="3"/>
      <c r="Z2671" s="3"/>
      <c r="AA2671" s="3"/>
      <c r="AB2671" s="3"/>
    </row>
    <row r="2672" spans="1:28" x14ac:dyDescent="0.3">
      <c r="A2672" s="2"/>
      <c r="F2672" s="3"/>
      <c r="G2672" s="3"/>
      <c r="N2672" s="3"/>
      <c r="Q2672" s="3"/>
      <c r="R2672" s="3"/>
      <c r="S2672" s="3"/>
      <c r="V2672" s="3"/>
      <c r="W2672" s="3"/>
      <c r="X2672" s="3"/>
      <c r="Y2672" s="3"/>
      <c r="Z2672" s="3"/>
      <c r="AA2672" s="3"/>
      <c r="AB2672" s="3"/>
    </row>
    <row r="2673" spans="1:28" x14ac:dyDescent="0.3">
      <c r="A2673" s="2"/>
      <c r="F2673" s="3"/>
      <c r="G2673" s="3"/>
      <c r="N2673" s="3"/>
      <c r="Q2673" s="3"/>
      <c r="R2673" s="3"/>
      <c r="S2673" s="3"/>
      <c r="V2673" s="3"/>
      <c r="W2673" s="3"/>
      <c r="X2673" s="3"/>
      <c r="Y2673" s="3"/>
      <c r="Z2673" s="3"/>
      <c r="AA2673" s="3"/>
      <c r="AB2673" s="3"/>
    </row>
    <row r="2674" spans="1:28" x14ac:dyDescent="0.3">
      <c r="A2674" s="2"/>
      <c r="F2674" s="3"/>
      <c r="G2674" s="3"/>
      <c r="N2674" s="3"/>
      <c r="Q2674" s="3"/>
      <c r="R2674" s="3"/>
      <c r="S2674" s="3"/>
      <c r="V2674" s="3"/>
      <c r="W2674" s="3"/>
      <c r="X2674" s="3"/>
      <c r="Y2674" s="3"/>
      <c r="Z2674" s="3"/>
      <c r="AA2674" s="3"/>
      <c r="AB2674" s="3"/>
    </row>
    <row r="2675" spans="1:28" x14ac:dyDescent="0.3">
      <c r="A2675" s="2"/>
      <c r="F2675" s="3"/>
      <c r="G2675" s="3"/>
      <c r="N2675" s="3"/>
      <c r="Q2675" s="3"/>
      <c r="R2675" s="3"/>
      <c r="S2675" s="3"/>
      <c r="V2675" s="3"/>
      <c r="W2675" s="3"/>
      <c r="X2675" s="3"/>
      <c r="Y2675" s="3"/>
      <c r="Z2675" s="3"/>
      <c r="AA2675" s="3"/>
      <c r="AB2675" s="3"/>
    </row>
    <row r="2676" spans="1:28" x14ac:dyDescent="0.3">
      <c r="A2676" s="2"/>
      <c r="F2676" s="3"/>
      <c r="G2676" s="3"/>
      <c r="N2676" s="3"/>
      <c r="Q2676" s="3"/>
      <c r="R2676" s="3"/>
      <c r="S2676" s="3"/>
      <c r="V2676" s="3"/>
      <c r="W2676" s="3"/>
      <c r="X2676" s="3"/>
      <c r="Y2676" s="3"/>
      <c r="Z2676" s="3"/>
      <c r="AA2676" s="3"/>
      <c r="AB2676" s="3"/>
    </row>
    <row r="2677" spans="1:28" x14ac:dyDescent="0.3">
      <c r="A2677" s="2"/>
      <c r="F2677" s="3"/>
      <c r="G2677" s="3"/>
      <c r="N2677" s="3"/>
      <c r="Q2677" s="3"/>
      <c r="R2677" s="3"/>
      <c r="S2677" s="3"/>
      <c r="V2677" s="3"/>
      <c r="W2677" s="3"/>
      <c r="X2677" s="3"/>
      <c r="Y2677" s="3"/>
      <c r="Z2677" s="3"/>
      <c r="AA2677" s="3"/>
      <c r="AB2677" s="3"/>
    </row>
    <row r="2678" spans="1:28" x14ac:dyDescent="0.3">
      <c r="A2678" s="2"/>
      <c r="F2678" s="3"/>
      <c r="G2678" s="3"/>
      <c r="N2678" s="3"/>
      <c r="Q2678" s="3"/>
      <c r="R2678" s="3"/>
      <c r="S2678" s="3"/>
      <c r="V2678" s="3"/>
      <c r="W2678" s="3"/>
      <c r="X2678" s="3"/>
      <c r="Y2678" s="3"/>
      <c r="Z2678" s="3"/>
      <c r="AA2678" s="3"/>
      <c r="AB2678" s="3"/>
    </row>
    <row r="2679" spans="1:28" x14ac:dyDescent="0.3">
      <c r="A2679" s="2"/>
      <c r="F2679" s="3"/>
      <c r="G2679" s="3"/>
      <c r="N2679" s="3"/>
      <c r="Q2679" s="3"/>
      <c r="R2679" s="3"/>
      <c r="S2679" s="3"/>
      <c r="V2679" s="3"/>
      <c r="W2679" s="3"/>
      <c r="X2679" s="3"/>
      <c r="Y2679" s="3"/>
      <c r="Z2679" s="3"/>
      <c r="AA2679" s="3"/>
      <c r="AB2679" s="3"/>
    </row>
    <row r="2680" spans="1:28" x14ac:dyDescent="0.3">
      <c r="A2680" s="2"/>
      <c r="F2680" s="3"/>
      <c r="G2680" s="3"/>
      <c r="N2680" s="3"/>
      <c r="Q2680" s="3"/>
      <c r="R2680" s="3"/>
      <c r="S2680" s="3"/>
      <c r="V2680" s="3"/>
      <c r="W2680" s="3"/>
      <c r="X2680" s="3"/>
      <c r="Y2680" s="3"/>
      <c r="Z2680" s="3"/>
      <c r="AA2680" s="3"/>
      <c r="AB2680" s="3"/>
    </row>
    <row r="2681" spans="1:28" x14ac:dyDescent="0.3">
      <c r="A2681" s="2"/>
      <c r="F2681" s="3"/>
      <c r="G2681" s="3"/>
      <c r="N2681" s="3"/>
      <c r="Q2681" s="3"/>
      <c r="R2681" s="3"/>
      <c r="S2681" s="3"/>
      <c r="V2681" s="3"/>
      <c r="W2681" s="3"/>
      <c r="X2681" s="3"/>
      <c r="Y2681" s="3"/>
      <c r="Z2681" s="3"/>
      <c r="AA2681" s="3"/>
      <c r="AB2681" s="3"/>
    </row>
    <row r="2682" spans="1:28" x14ac:dyDescent="0.3">
      <c r="A2682" s="2"/>
      <c r="F2682" s="3"/>
      <c r="G2682" s="3"/>
      <c r="N2682" s="3"/>
      <c r="Q2682" s="3"/>
      <c r="R2682" s="3"/>
      <c r="S2682" s="3"/>
      <c r="V2682" s="3"/>
      <c r="W2682" s="3"/>
      <c r="X2682" s="3"/>
      <c r="Y2682" s="3"/>
      <c r="Z2682" s="3"/>
      <c r="AA2682" s="3"/>
      <c r="AB2682" s="3"/>
    </row>
    <row r="2683" spans="1:28" x14ac:dyDescent="0.3">
      <c r="A2683" s="2"/>
      <c r="F2683" s="3"/>
      <c r="G2683" s="3"/>
      <c r="N2683" s="3"/>
      <c r="Q2683" s="3"/>
      <c r="R2683" s="3"/>
      <c r="S2683" s="3"/>
      <c r="V2683" s="3"/>
      <c r="W2683" s="3"/>
      <c r="X2683" s="3"/>
      <c r="Y2683" s="3"/>
      <c r="Z2683" s="3"/>
      <c r="AA2683" s="3"/>
      <c r="AB2683" s="3"/>
    </row>
    <row r="2684" spans="1:28" x14ac:dyDescent="0.3">
      <c r="A2684" s="2"/>
      <c r="F2684" s="3"/>
      <c r="G2684" s="3"/>
      <c r="N2684" s="3"/>
      <c r="Q2684" s="3"/>
      <c r="R2684" s="3"/>
      <c r="S2684" s="3"/>
      <c r="V2684" s="3"/>
      <c r="W2684" s="3"/>
      <c r="X2684" s="3"/>
      <c r="Y2684" s="3"/>
      <c r="Z2684" s="3"/>
      <c r="AA2684" s="3"/>
      <c r="AB2684" s="3"/>
    </row>
    <row r="2685" spans="1:28" x14ac:dyDescent="0.3">
      <c r="A2685" s="2"/>
      <c r="F2685" s="3"/>
      <c r="G2685" s="3"/>
      <c r="N2685" s="3"/>
      <c r="Q2685" s="3"/>
      <c r="R2685" s="3"/>
      <c r="S2685" s="3"/>
      <c r="V2685" s="3"/>
      <c r="W2685" s="3"/>
      <c r="X2685" s="3"/>
      <c r="Y2685" s="3"/>
      <c r="Z2685" s="3"/>
      <c r="AA2685" s="3"/>
      <c r="AB2685" s="3"/>
    </row>
    <row r="2686" spans="1:28" x14ac:dyDescent="0.3">
      <c r="A2686" s="2"/>
      <c r="F2686" s="3"/>
      <c r="G2686" s="3"/>
      <c r="N2686" s="3"/>
      <c r="Q2686" s="3"/>
      <c r="R2686" s="3"/>
      <c r="S2686" s="3"/>
      <c r="V2686" s="3"/>
      <c r="W2686" s="3"/>
      <c r="X2686" s="3"/>
      <c r="Y2686" s="3"/>
      <c r="Z2686" s="3"/>
      <c r="AA2686" s="3"/>
      <c r="AB2686" s="3"/>
    </row>
    <row r="2687" spans="1:28" x14ac:dyDescent="0.3">
      <c r="A2687" s="2"/>
      <c r="F2687" s="3"/>
      <c r="G2687" s="3"/>
      <c r="N2687" s="3"/>
      <c r="Q2687" s="3"/>
      <c r="R2687" s="3"/>
      <c r="S2687" s="3"/>
      <c r="V2687" s="3"/>
      <c r="W2687" s="3"/>
      <c r="X2687" s="3"/>
      <c r="Y2687" s="3"/>
      <c r="Z2687" s="3"/>
      <c r="AA2687" s="3"/>
      <c r="AB2687" s="3"/>
    </row>
    <row r="2688" spans="1:28" x14ac:dyDescent="0.3">
      <c r="A2688" s="2"/>
      <c r="F2688" s="3"/>
      <c r="G2688" s="3"/>
      <c r="N2688" s="3"/>
      <c r="Q2688" s="3"/>
      <c r="R2688" s="3"/>
      <c r="S2688" s="3"/>
      <c r="V2688" s="3"/>
      <c r="W2688" s="3"/>
      <c r="X2688" s="3"/>
      <c r="Y2688" s="3"/>
      <c r="Z2688" s="3"/>
      <c r="AA2688" s="3"/>
      <c r="AB2688" s="3"/>
    </row>
    <row r="2689" spans="1:28" x14ac:dyDescent="0.3">
      <c r="A2689" s="2"/>
      <c r="F2689" s="3"/>
      <c r="G2689" s="3"/>
      <c r="N2689" s="3"/>
      <c r="Q2689" s="3"/>
      <c r="R2689" s="3"/>
      <c r="S2689" s="3"/>
      <c r="V2689" s="3"/>
      <c r="W2689" s="3"/>
      <c r="X2689" s="3"/>
      <c r="Y2689" s="3"/>
      <c r="Z2689" s="3"/>
      <c r="AA2689" s="3"/>
      <c r="AB2689" s="3"/>
    </row>
    <row r="2690" spans="1:28" x14ac:dyDescent="0.3">
      <c r="A2690" s="2"/>
      <c r="F2690" s="3"/>
      <c r="G2690" s="3"/>
      <c r="N2690" s="3"/>
      <c r="Q2690" s="3"/>
      <c r="R2690" s="3"/>
      <c r="S2690" s="3"/>
      <c r="V2690" s="3"/>
      <c r="W2690" s="3"/>
      <c r="X2690" s="3"/>
      <c r="Y2690" s="3"/>
      <c r="Z2690" s="3"/>
      <c r="AA2690" s="3"/>
      <c r="AB2690" s="3"/>
    </row>
    <row r="2691" spans="1:28" x14ac:dyDescent="0.3">
      <c r="A2691" s="2"/>
      <c r="F2691" s="3"/>
      <c r="G2691" s="3"/>
      <c r="N2691" s="3"/>
      <c r="Q2691" s="3"/>
      <c r="R2691" s="3"/>
      <c r="S2691" s="3"/>
      <c r="V2691" s="3"/>
      <c r="W2691" s="3"/>
      <c r="X2691" s="3"/>
      <c r="Y2691" s="3"/>
      <c r="Z2691" s="3"/>
      <c r="AA2691" s="3"/>
      <c r="AB2691" s="3"/>
    </row>
    <row r="2692" spans="1:28" x14ac:dyDescent="0.3">
      <c r="A2692" s="2"/>
      <c r="F2692" s="3"/>
      <c r="G2692" s="3"/>
      <c r="N2692" s="3"/>
      <c r="Q2692" s="3"/>
      <c r="R2692" s="3"/>
      <c r="S2692" s="3"/>
      <c r="V2692" s="3"/>
      <c r="W2692" s="3"/>
      <c r="X2692" s="3"/>
      <c r="Y2692" s="3"/>
      <c r="Z2692" s="3"/>
      <c r="AA2692" s="3"/>
      <c r="AB2692" s="3"/>
    </row>
    <row r="2693" spans="1:28" x14ac:dyDescent="0.3">
      <c r="A2693" s="2"/>
      <c r="F2693" s="3"/>
      <c r="G2693" s="3"/>
      <c r="N2693" s="3"/>
      <c r="Q2693" s="3"/>
      <c r="R2693" s="3"/>
      <c r="S2693" s="3"/>
      <c r="V2693" s="3"/>
      <c r="W2693" s="3"/>
      <c r="X2693" s="3"/>
      <c r="Y2693" s="3"/>
      <c r="Z2693" s="3"/>
      <c r="AA2693" s="3"/>
      <c r="AB2693" s="3"/>
    </row>
    <row r="2694" spans="1:28" x14ac:dyDescent="0.3">
      <c r="A2694" s="2"/>
      <c r="F2694" s="3"/>
      <c r="G2694" s="3"/>
      <c r="N2694" s="3"/>
      <c r="Q2694" s="3"/>
      <c r="R2694" s="3"/>
      <c r="S2694" s="3"/>
      <c r="V2694" s="3"/>
      <c r="W2694" s="3"/>
      <c r="X2694" s="3"/>
      <c r="Y2694" s="3"/>
      <c r="Z2694" s="3"/>
      <c r="AA2694" s="3"/>
      <c r="AB2694" s="3"/>
    </row>
    <row r="2695" spans="1:28" x14ac:dyDescent="0.3">
      <c r="A2695" s="2"/>
      <c r="F2695" s="3"/>
      <c r="G2695" s="3"/>
      <c r="N2695" s="3"/>
      <c r="Q2695" s="3"/>
      <c r="R2695" s="3"/>
      <c r="S2695" s="3"/>
      <c r="V2695" s="3"/>
      <c r="W2695" s="3"/>
      <c r="X2695" s="3"/>
      <c r="Y2695" s="3"/>
      <c r="Z2695" s="3"/>
      <c r="AA2695" s="3"/>
      <c r="AB2695" s="3"/>
    </row>
    <row r="2696" spans="1:28" x14ac:dyDescent="0.3">
      <c r="A2696" s="2"/>
      <c r="F2696" s="3"/>
      <c r="G2696" s="3"/>
      <c r="N2696" s="3"/>
      <c r="Q2696" s="3"/>
      <c r="R2696" s="3"/>
      <c r="S2696" s="3"/>
      <c r="V2696" s="3"/>
      <c r="W2696" s="3"/>
      <c r="X2696" s="3"/>
      <c r="Y2696" s="3"/>
      <c r="Z2696" s="3"/>
      <c r="AA2696" s="3"/>
      <c r="AB2696" s="3"/>
    </row>
    <row r="2697" spans="1:28" x14ac:dyDescent="0.3">
      <c r="A2697" s="2"/>
      <c r="F2697" s="3"/>
      <c r="G2697" s="3"/>
      <c r="N2697" s="3"/>
      <c r="Q2697" s="3"/>
      <c r="R2697" s="3"/>
      <c r="S2697" s="3"/>
      <c r="V2697" s="3"/>
      <c r="W2697" s="3"/>
      <c r="X2697" s="3"/>
      <c r="Y2697" s="3"/>
      <c r="Z2697" s="3"/>
      <c r="AA2697" s="3"/>
      <c r="AB2697" s="3"/>
    </row>
    <row r="2698" spans="1:28" x14ac:dyDescent="0.3">
      <c r="A2698" s="2"/>
      <c r="F2698" s="3"/>
      <c r="G2698" s="3"/>
      <c r="N2698" s="3"/>
      <c r="Q2698" s="3"/>
      <c r="R2698" s="3"/>
      <c r="S2698" s="3"/>
      <c r="V2698" s="3"/>
      <c r="W2698" s="3"/>
      <c r="X2698" s="3"/>
      <c r="Y2698" s="3"/>
      <c r="Z2698" s="3"/>
      <c r="AA2698" s="3"/>
      <c r="AB2698" s="3"/>
    </row>
    <row r="2699" spans="1:28" x14ac:dyDescent="0.3">
      <c r="A2699" s="2"/>
      <c r="F2699" s="3"/>
      <c r="G2699" s="3"/>
      <c r="N2699" s="3"/>
      <c r="Q2699" s="3"/>
      <c r="R2699" s="3"/>
      <c r="S2699" s="3"/>
      <c r="V2699" s="3"/>
      <c r="W2699" s="3"/>
      <c r="X2699" s="3"/>
      <c r="Y2699" s="3"/>
      <c r="Z2699" s="3"/>
      <c r="AA2699" s="3"/>
      <c r="AB2699" s="3"/>
    </row>
    <row r="2700" spans="1:28" x14ac:dyDescent="0.3">
      <c r="A2700" s="2"/>
      <c r="F2700" s="3"/>
      <c r="G2700" s="3"/>
      <c r="N2700" s="3"/>
      <c r="Q2700" s="3"/>
      <c r="R2700" s="3"/>
      <c r="S2700" s="3"/>
      <c r="V2700" s="3"/>
      <c r="W2700" s="3"/>
      <c r="X2700" s="3"/>
      <c r="Y2700" s="3"/>
      <c r="Z2700" s="3"/>
      <c r="AA2700" s="3"/>
      <c r="AB2700" s="3"/>
    </row>
    <row r="2701" spans="1:28" x14ac:dyDescent="0.3">
      <c r="A2701" s="2"/>
      <c r="F2701" s="3"/>
      <c r="G2701" s="3"/>
      <c r="N2701" s="3"/>
      <c r="Q2701" s="3"/>
      <c r="R2701" s="3"/>
      <c r="S2701" s="3"/>
      <c r="V2701" s="3"/>
      <c r="W2701" s="3"/>
      <c r="X2701" s="3"/>
      <c r="Y2701" s="3"/>
      <c r="Z2701" s="3"/>
      <c r="AA2701" s="3"/>
      <c r="AB2701" s="3"/>
    </row>
    <row r="2702" spans="1:28" x14ac:dyDescent="0.3">
      <c r="A2702" s="2"/>
      <c r="F2702" s="3"/>
      <c r="G2702" s="3"/>
      <c r="N2702" s="3"/>
      <c r="Q2702" s="3"/>
      <c r="R2702" s="3"/>
      <c r="S2702" s="3"/>
      <c r="V2702" s="3"/>
      <c r="W2702" s="3"/>
      <c r="X2702" s="3"/>
      <c r="Y2702" s="3"/>
      <c r="Z2702" s="3"/>
      <c r="AA2702" s="3"/>
      <c r="AB2702" s="3"/>
    </row>
    <row r="2703" spans="1:28" x14ac:dyDescent="0.3">
      <c r="A2703" s="2"/>
      <c r="F2703" s="3"/>
      <c r="G2703" s="3"/>
      <c r="N2703" s="3"/>
      <c r="Q2703" s="3"/>
      <c r="R2703" s="3"/>
      <c r="S2703" s="3"/>
      <c r="V2703" s="3"/>
      <c r="W2703" s="3"/>
      <c r="X2703" s="3"/>
      <c r="Y2703" s="3"/>
      <c r="Z2703" s="3"/>
      <c r="AA2703" s="3"/>
      <c r="AB2703" s="3"/>
    </row>
    <row r="2704" spans="1:28" x14ac:dyDescent="0.3">
      <c r="A2704" s="2"/>
      <c r="F2704" s="3"/>
      <c r="G2704" s="3"/>
      <c r="N2704" s="3"/>
      <c r="Q2704" s="3"/>
      <c r="R2704" s="3"/>
      <c r="S2704" s="3"/>
      <c r="V2704" s="3"/>
      <c r="W2704" s="3"/>
      <c r="X2704" s="3"/>
      <c r="Y2704" s="3"/>
      <c r="Z2704" s="3"/>
      <c r="AA2704" s="3"/>
      <c r="AB2704" s="3"/>
    </row>
    <row r="2705" spans="1:28" x14ac:dyDescent="0.3">
      <c r="A2705" s="2"/>
      <c r="F2705" s="3"/>
      <c r="G2705" s="3"/>
      <c r="N2705" s="3"/>
      <c r="Q2705" s="3"/>
      <c r="R2705" s="3"/>
      <c r="S2705" s="3"/>
      <c r="V2705" s="3"/>
      <c r="W2705" s="3"/>
      <c r="X2705" s="3"/>
      <c r="Y2705" s="3"/>
      <c r="Z2705" s="3"/>
      <c r="AA2705" s="3"/>
      <c r="AB2705" s="3"/>
    </row>
    <row r="2706" spans="1:28" x14ac:dyDescent="0.3">
      <c r="A2706" s="2"/>
      <c r="F2706" s="3"/>
      <c r="G2706" s="3"/>
      <c r="N2706" s="3"/>
      <c r="Q2706" s="3"/>
      <c r="R2706" s="3"/>
      <c r="S2706" s="3"/>
      <c r="V2706" s="3"/>
      <c r="W2706" s="3"/>
      <c r="X2706" s="3"/>
      <c r="Y2706" s="3"/>
      <c r="Z2706" s="3"/>
      <c r="AA2706" s="3"/>
      <c r="AB2706" s="3"/>
    </row>
    <row r="2707" spans="1:28" x14ac:dyDescent="0.3">
      <c r="A2707" s="2"/>
      <c r="F2707" s="3"/>
      <c r="G2707" s="3"/>
      <c r="N2707" s="3"/>
      <c r="Q2707" s="3"/>
      <c r="R2707" s="3"/>
      <c r="S2707" s="3"/>
      <c r="V2707" s="3"/>
      <c r="W2707" s="3"/>
      <c r="X2707" s="3"/>
      <c r="Y2707" s="3"/>
      <c r="Z2707" s="3"/>
      <c r="AA2707" s="3"/>
      <c r="AB2707" s="3"/>
    </row>
    <row r="2708" spans="1:28" x14ac:dyDescent="0.3">
      <c r="A2708" s="2"/>
      <c r="F2708" s="3"/>
      <c r="G2708" s="3"/>
      <c r="N2708" s="3"/>
      <c r="Q2708" s="3"/>
      <c r="R2708" s="3"/>
      <c r="S2708" s="3"/>
      <c r="V2708" s="3"/>
      <c r="W2708" s="3"/>
      <c r="X2708" s="3"/>
      <c r="Y2708" s="3"/>
      <c r="Z2708" s="3"/>
      <c r="AA2708" s="3"/>
      <c r="AB2708" s="3"/>
    </row>
    <row r="2709" spans="1:28" x14ac:dyDescent="0.3">
      <c r="A2709" s="2"/>
      <c r="F2709" s="3"/>
      <c r="G2709" s="3"/>
      <c r="N2709" s="3"/>
      <c r="Q2709" s="3"/>
      <c r="R2709" s="3"/>
      <c r="S2709" s="3"/>
      <c r="V2709" s="3"/>
      <c r="W2709" s="3"/>
      <c r="X2709" s="3"/>
      <c r="Y2709" s="3"/>
      <c r="Z2709" s="3"/>
      <c r="AA2709" s="3"/>
      <c r="AB2709" s="3"/>
    </row>
    <row r="2710" spans="1:28" x14ac:dyDescent="0.3">
      <c r="A2710" s="2"/>
      <c r="F2710" s="3"/>
      <c r="G2710" s="3"/>
      <c r="N2710" s="3"/>
      <c r="Q2710" s="3"/>
      <c r="R2710" s="3"/>
      <c r="S2710" s="3"/>
      <c r="V2710" s="3"/>
      <c r="W2710" s="3"/>
      <c r="X2710" s="3"/>
      <c r="Y2710" s="3"/>
      <c r="Z2710" s="3"/>
      <c r="AA2710" s="3"/>
      <c r="AB2710" s="3"/>
    </row>
    <row r="2711" spans="1:28" x14ac:dyDescent="0.3">
      <c r="A2711" s="2"/>
      <c r="F2711" s="3"/>
      <c r="G2711" s="3"/>
      <c r="N2711" s="3"/>
      <c r="Q2711" s="3"/>
      <c r="R2711" s="3"/>
      <c r="S2711" s="3"/>
      <c r="V2711" s="3"/>
      <c r="W2711" s="3"/>
      <c r="X2711" s="3"/>
      <c r="Y2711" s="3"/>
      <c r="Z2711" s="3"/>
      <c r="AA2711" s="3"/>
      <c r="AB2711" s="3"/>
    </row>
    <row r="2712" spans="1:28" x14ac:dyDescent="0.3">
      <c r="A2712" s="2"/>
      <c r="F2712" s="3"/>
      <c r="G2712" s="3"/>
      <c r="N2712" s="3"/>
      <c r="Q2712" s="3"/>
      <c r="R2712" s="3"/>
      <c r="S2712" s="3"/>
      <c r="V2712" s="3"/>
      <c r="W2712" s="3"/>
      <c r="X2712" s="3"/>
      <c r="Y2712" s="3"/>
      <c r="Z2712" s="3"/>
      <c r="AA2712" s="3"/>
      <c r="AB2712" s="3"/>
    </row>
    <row r="2713" spans="1:28" x14ac:dyDescent="0.3">
      <c r="A2713" s="2"/>
      <c r="F2713" s="3"/>
      <c r="G2713" s="3"/>
      <c r="N2713" s="3"/>
      <c r="Q2713" s="3"/>
      <c r="R2713" s="3"/>
      <c r="S2713" s="3"/>
      <c r="V2713" s="3"/>
      <c r="W2713" s="3"/>
      <c r="X2713" s="3"/>
      <c r="Y2713" s="3"/>
      <c r="Z2713" s="3"/>
      <c r="AA2713" s="3"/>
      <c r="AB2713" s="3"/>
    </row>
    <row r="2714" spans="1:28" x14ac:dyDescent="0.3">
      <c r="A2714" s="2"/>
      <c r="F2714" s="3"/>
      <c r="G2714" s="3"/>
      <c r="N2714" s="3"/>
      <c r="Q2714" s="3"/>
      <c r="R2714" s="3"/>
      <c r="S2714" s="3"/>
      <c r="V2714" s="3"/>
      <c r="W2714" s="3"/>
      <c r="X2714" s="3"/>
      <c r="Y2714" s="3"/>
      <c r="Z2714" s="3"/>
      <c r="AA2714" s="3"/>
      <c r="AB2714" s="3"/>
    </row>
    <row r="2715" spans="1:28" x14ac:dyDescent="0.3">
      <c r="A2715" s="2"/>
      <c r="F2715" s="3"/>
      <c r="G2715" s="3"/>
      <c r="N2715" s="3"/>
      <c r="Q2715" s="3"/>
      <c r="R2715" s="3"/>
      <c r="S2715" s="3"/>
      <c r="V2715" s="3"/>
      <c r="W2715" s="3"/>
      <c r="X2715" s="3"/>
      <c r="Y2715" s="3"/>
      <c r="Z2715" s="3"/>
      <c r="AA2715" s="3"/>
      <c r="AB2715" s="3"/>
    </row>
    <row r="2716" spans="1:28" x14ac:dyDescent="0.3">
      <c r="A2716" s="2"/>
      <c r="F2716" s="3"/>
      <c r="G2716" s="3"/>
      <c r="N2716" s="3"/>
      <c r="Q2716" s="3"/>
      <c r="R2716" s="3"/>
      <c r="S2716" s="3"/>
      <c r="V2716" s="3"/>
      <c r="W2716" s="3"/>
      <c r="X2716" s="3"/>
      <c r="Y2716" s="3"/>
      <c r="Z2716" s="3"/>
      <c r="AA2716" s="3"/>
      <c r="AB2716" s="3"/>
    </row>
    <row r="2717" spans="1:28" x14ac:dyDescent="0.3">
      <c r="A2717" s="2"/>
      <c r="F2717" s="3"/>
      <c r="G2717" s="3"/>
      <c r="N2717" s="3"/>
      <c r="Q2717" s="3"/>
      <c r="R2717" s="3"/>
      <c r="S2717" s="3"/>
      <c r="V2717" s="3"/>
      <c r="W2717" s="3"/>
      <c r="X2717" s="3"/>
      <c r="Y2717" s="3"/>
      <c r="Z2717" s="3"/>
      <c r="AA2717" s="3"/>
      <c r="AB2717" s="3"/>
    </row>
    <row r="2718" spans="1:28" x14ac:dyDescent="0.3">
      <c r="A2718" s="2"/>
      <c r="F2718" s="3"/>
      <c r="G2718" s="3"/>
      <c r="N2718" s="3"/>
      <c r="Q2718" s="3"/>
      <c r="R2718" s="3"/>
      <c r="S2718" s="3"/>
      <c r="V2718" s="3"/>
      <c r="W2718" s="3"/>
      <c r="X2718" s="3"/>
      <c r="Y2718" s="3"/>
      <c r="Z2718" s="3"/>
      <c r="AA2718" s="3"/>
      <c r="AB2718" s="3"/>
    </row>
    <row r="2719" spans="1:28" x14ac:dyDescent="0.3">
      <c r="A2719" s="2"/>
      <c r="F2719" s="3"/>
      <c r="G2719" s="3"/>
      <c r="N2719" s="3"/>
      <c r="Q2719" s="3"/>
      <c r="R2719" s="3"/>
      <c r="S2719" s="3"/>
      <c r="V2719" s="3"/>
      <c r="W2719" s="3"/>
      <c r="X2719" s="3"/>
      <c r="Y2719" s="3"/>
      <c r="Z2719" s="3"/>
      <c r="AA2719" s="3"/>
      <c r="AB2719" s="3"/>
    </row>
    <row r="2720" spans="1:28" x14ac:dyDescent="0.3">
      <c r="A2720" s="2"/>
      <c r="F2720" s="3"/>
      <c r="G2720" s="3"/>
      <c r="N2720" s="3"/>
      <c r="Q2720" s="3"/>
      <c r="R2720" s="3"/>
      <c r="S2720" s="3"/>
      <c r="V2720" s="3"/>
      <c r="W2720" s="3"/>
      <c r="X2720" s="3"/>
      <c r="Y2720" s="3"/>
      <c r="Z2720" s="3"/>
      <c r="AA2720" s="3"/>
      <c r="AB2720" s="3"/>
    </row>
    <row r="2721" spans="1:28" x14ac:dyDescent="0.3">
      <c r="A2721" s="2"/>
      <c r="F2721" s="3"/>
      <c r="G2721" s="3"/>
      <c r="N2721" s="3"/>
      <c r="Q2721" s="3"/>
      <c r="R2721" s="3"/>
      <c r="S2721" s="3"/>
      <c r="V2721" s="3"/>
      <c r="W2721" s="3"/>
      <c r="X2721" s="3"/>
      <c r="Y2721" s="3"/>
      <c r="Z2721" s="3"/>
      <c r="AA2721" s="3"/>
      <c r="AB2721" s="3"/>
    </row>
    <row r="2722" spans="1:28" x14ac:dyDescent="0.3">
      <c r="A2722" s="2"/>
      <c r="F2722" s="3"/>
      <c r="G2722" s="3"/>
      <c r="N2722" s="3"/>
      <c r="Q2722" s="3"/>
      <c r="R2722" s="3"/>
      <c r="S2722" s="3"/>
      <c r="V2722" s="3"/>
      <c r="W2722" s="3"/>
      <c r="X2722" s="3"/>
      <c r="Y2722" s="3"/>
      <c r="Z2722" s="3"/>
      <c r="AA2722" s="3"/>
      <c r="AB2722" s="3"/>
    </row>
    <row r="2723" spans="1:28" x14ac:dyDescent="0.3">
      <c r="A2723" s="2"/>
      <c r="F2723" s="3"/>
      <c r="G2723" s="3"/>
      <c r="N2723" s="3"/>
      <c r="Q2723" s="3"/>
      <c r="R2723" s="3"/>
      <c r="S2723" s="3"/>
      <c r="V2723" s="3"/>
      <c r="W2723" s="3"/>
      <c r="X2723" s="3"/>
      <c r="Y2723" s="3"/>
      <c r="Z2723" s="3"/>
      <c r="AA2723" s="3"/>
      <c r="AB2723" s="3"/>
    </row>
    <row r="2724" spans="1:28" x14ac:dyDescent="0.3">
      <c r="A2724" s="2"/>
      <c r="F2724" s="3"/>
      <c r="G2724" s="3"/>
      <c r="N2724" s="3"/>
      <c r="Q2724" s="3"/>
      <c r="R2724" s="3"/>
      <c r="S2724" s="3"/>
      <c r="V2724" s="3"/>
      <c r="W2724" s="3"/>
      <c r="X2724" s="3"/>
      <c r="Y2724" s="3"/>
      <c r="Z2724" s="3"/>
      <c r="AA2724" s="3"/>
      <c r="AB2724" s="3"/>
    </row>
    <row r="2725" spans="1:28" x14ac:dyDescent="0.3">
      <c r="A2725" s="2"/>
      <c r="F2725" s="3"/>
      <c r="G2725" s="3"/>
      <c r="N2725" s="3"/>
      <c r="Q2725" s="3"/>
      <c r="R2725" s="3"/>
      <c r="S2725" s="3"/>
      <c r="V2725" s="3"/>
      <c r="W2725" s="3"/>
      <c r="X2725" s="3"/>
      <c r="Y2725" s="3"/>
      <c r="Z2725" s="3"/>
      <c r="AA2725" s="3"/>
      <c r="AB2725" s="3"/>
    </row>
    <row r="2726" spans="1:28" x14ac:dyDescent="0.3">
      <c r="A2726" s="2"/>
      <c r="F2726" s="3"/>
      <c r="G2726" s="3"/>
      <c r="N2726" s="3"/>
      <c r="Q2726" s="3"/>
      <c r="R2726" s="3"/>
      <c r="S2726" s="3"/>
      <c r="V2726" s="3"/>
      <c r="W2726" s="3"/>
      <c r="X2726" s="3"/>
      <c r="Y2726" s="3"/>
      <c r="Z2726" s="3"/>
      <c r="AA2726" s="3"/>
      <c r="AB2726" s="3"/>
    </row>
    <row r="2727" spans="1:28" x14ac:dyDescent="0.3">
      <c r="A2727" s="2"/>
      <c r="F2727" s="3"/>
      <c r="G2727" s="3"/>
      <c r="N2727" s="3"/>
      <c r="Q2727" s="3"/>
      <c r="R2727" s="3"/>
      <c r="S2727" s="3"/>
      <c r="V2727" s="3"/>
      <c r="W2727" s="3"/>
      <c r="X2727" s="3"/>
      <c r="Y2727" s="3"/>
      <c r="Z2727" s="3"/>
      <c r="AA2727" s="3"/>
      <c r="AB2727" s="3"/>
    </row>
    <row r="2728" spans="1:28" x14ac:dyDescent="0.3">
      <c r="A2728" s="2"/>
      <c r="F2728" s="3"/>
      <c r="G2728" s="3"/>
      <c r="N2728" s="3"/>
      <c r="Q2728" s="3"/>
      <c r="R2728" s="3"/>
      <c r="S2728" s="3"/>
      <c r="V2728" s="3"/>
      <c r="W2728" s="3"/>
      <c r="X2728" s="3"/>
      <c r="Y2728" s="3"/>
      <c r="Z2728" s="3"/>
      <c r="AA2728" s="3"/>
      <c r="AB2728" s="3"/>
    </row>
    <row r="2729" spans="1:28" x14ac:dyDescent="0.3">
      <c r="A2729" s="2"/>
      <c r="F2729" s="3"/>
      <c r="G2729" s="3"/>
      <c r="N2729" s="3"/>
      <c r="Q2729" s="3"/>
      <c r="R2729" s="3"/>
      <c r="S2729" s="3"/>
      <c r="V2729" s="3"/>
      <c r="W2729" s="3"/>
      <c r="X2729" s="3"/>
      <c r="Y2729" s="3"/>
      <c r="Z2729" s="3"/>
      <c r="AA2729" s="3"/>
      <c r="AB2729" s="3"/>
    </row>
    <row r="2730" spans="1:28" x14ac:dyDescent="0.3">
      <c r="A2730" s="2"/>
      <c r="F2730" s="3"/>
      <c r="G2730" s="3"/>
      <c r="N2730" s="3"/>
      <c r="Q2730" s="3"/>
      <c r="R2730" s="3"/>
      <c r="S2730" s="3"/>
      <c r="V2730" s="3"/>
      <c r="W2730" s="3"/>
      <c r="X2730" s="3"/>
      <c r="Y2730" s="3"/>
      <c r="Z2730" s="3"/>
      <c r="AA2730" s="3"/>
      <c r="AB2730" s="3"/>
    </row>
    <row r="2731" spans="1:28" x14ac:dyDescent="0.3">
      <c r="A2731" s="2"/>
      <c r="F2731" s="3"/>
      <c r="G2731" s="3"/>
      <c r="N2731" s="3"/>
      <c r="Q2731" s="3"/>
      <c r="R2731" s="3"/>
      <c r="S2731" s="3"/>
      <c r="V2731" s="3"/>
      <c r="W2731" s="3"/>
      <c r="X2731" s="3"/>
      <c r="Y2731" s="3"/>
      <c r="Z2731" s="3"/>
      <c r="AA2731" s="3"/>
      <c r="AB2731" s="3"/>
    </row>
    <row r="2732" spans="1:28" x14ac:dyDescent="0.3">
      <c r="A2732" s="2"/>
      <c r="F2732" s="3"/>
      <c r="G2732" s="3"/>
      <c r="N2732" s="3"/>
      <c r="Q2732" s="3"/>
      <c r="R2732" s="3"/>
      <c r="S2732" s="3"/>
      <c r="V2732" s="3"/>
      <c r="W2732" s="3"/>
      <c r="X2732" s="3"/>
      <c r="Y2732" s="3"/>
      <c r="Z2732" s="3"/>
      <c r="AA2732" s="3"/>
      <c r="AB2732" s="3"/>
    </row>
    <row r="2733" spans="1:28" x14ac:dyDescent="0.3">
      <c r="A2733" s="2"/>
      <c r="F2733" s="3"/>
      <c r="G2733" s="3"/>
      <c r="N2733" s="3"/>
      <c r="Q2733" s="3"/>
      <c r="R2733" s="3"/>
      <c r="S2733" s="3"/>
      <c r="V2733" s="3"/>
      <c r="W2733" s="3"/>
      <c r="X2733" s="3"/>
      <c r="Y2733" s="3"/>
      <c r="Z2733" s="3"/>
      <c r="AA2733" s="3"/>
      <c r="AB2733" s="3"/>
    </row>
    <row r="2734" spans="1:28" x14ac:dyDescent="0.3">
      <c r="A2734" s="2"/>
      <c r="F2734" s="3"/>
      <c r="G2734" s="3"/>
      <c r="N2734" s="3"/>
      <c r="Q2734" s="3"/>
      <c r="R2734" s="3"/>
      <c r="S2734" s="3"/>
      <c r="V2734" s="3"/>
      <c r="W2734" s="3"/>
      <c r="X2734" s="3"/>
      <c r="Y2734" s="3"/>
      <c r="Z2734" s="3"/>
      <c r="AA2734" s="3"/>
      <c r="AB2734" s="3"/>
    </row>
    <row r="2735" spans="1:28" x14ac:dyDescent="0.3">
      <c r="A2735" s="2"/>
      <c r="F2735" s="3"/>
      <c r="G2735" s="3"/>
      <c r="N2735" s="3"/>
      <c r="Q2735" s="3"/>
      <c r="R2735" s="3"/>
      <c r="S2735" s="3"/>
      <c r="V2735" s="3"/>
      <c r="W2735" s="3"/>
      <c r="X2735" s="3"/>
      <c r="Y2735" s="3"/>
      <c r="Z2735" s="3"/>
      <c r="AA2735" s="3"/>
      <c r="AB2735" s="3"/>
    </row>
    <row r="2736" spans="1:28" x14ac:dyDescent="0.3">
      <c r="A2736" s="2"/>
      <c r="F2736" s="3"/>
      <c r="G2736" s="3"/>
      <c r="N2736" s="3"/>
      <c r="Q2736" s="3"/>
      <c r="R2736" s="3"/>
      <c r="S2736" s="3"/>
      <c r="V2736" s="3"/>
      <c r="W2736" s="3"/>
      <c r="X2736" s="3"/>
      <c r="Y2736" s="3"/>
      <c r="Z2736" s="3"/>
      <c r="AA2736" s="3"/>
      <c r="AB2736" s="3"/>
    </row>
    <row r="2737" spans="1:28" x14ac:dyDescent="0.3">
      <c r="A2737" s="2"/>
      <c r="F2737" s="3"/>
      <c r="G2737" s="3"/>
      <c r="N2737" s="3"/>
      <c r="Q2737" s="3"/>
      <c r="R2737" s="3"/>
      <c r="S2737" s="3"/>
      <c r="V2737" s="3"/>
      <c r="W2737" s="3"/>
      <c r="X2737" s="3"/>
      <c r="Y2737" s="3"/>
      <c r="Z2737" s="3"/>
      <c r="AA2737" s="3"/>
      <c r="AB2737" s="3"/>
    </row>
    <row r="2738" spans="1:28" x14ac:dyDescent="0.3">
      <c r="A2738" s="2"/>
      <c r="F2738" s="3"/>
      <c r="G2738" s="3"/>
      <c r="N2738" s="3"/>
      <c r="Q2738" s="3"/>
      <c r="R2738" s="3"/>
      <c r="S2738" s="3"/>
      <c r="V2738" s="3"/>
      <c r="W2738" s="3"/>
      <c r="X2738" s="3"/>
      <c r="Y2738" s="3"/>
      <c r="Z2738" s="3"/>
      <c r="AA2738" s="3"/>
      <c r="AB2738" s="3"/>
    </row>
    <row r="2739" spans="1:28" x14ac:dyDescent="0.3">
      <c r="A2739" s="2"/>
      <c r="F2739" s="3"/>
      <c r="G2739" s="3"/>
      <c r="N2739" s="3"/>
      <c r="Q2739" s="3"/>
      <c r="R2739" s="3"/>
      <c r="S2739" s="3"/>
      <c r="V2739" s="3"/>
      <c r="W2739" s="3"/>
      <c r="X2739" s="3"/>
      <c r="Y2739" s="3"/>
      <c r="Z2739" s="3"/>
      <c r="AA2739" s="3"/>
      <c r="AB2739" s="3"/>
    </row>
    <row r="2740" spans="1:28" x14ac:dyDescent="0.3">
      <c r="A2740" s="2"/>
      <c r="F2740" s="3"/>
      <c r="G2740" s="3"/>
      <c r="N2740" s="3"/>
      <c r="Q2740" s="3"/>
      <c r="R2740" s="3"/>
      <c r="S2740" s="3"/>
      <c r="V2740" s="3"/>
      <c r="W2740" s="3"/>
      <c r="X2740" s="3"/>
      <c r="Y2740" s="3"/>
      <c r="Z2740" s="3"/>
      <c r="AA2740" s="3"/>
      <c r="AB2740" s="3"/>
    </row>
    <row r="2741" spans="1:28" x14ac:dyDescent="0.3">
      <c r="A2741" s="2"/>
      <c r="F2741" s="3"/>
      <c r="G2741" s="3"/>
      <c r="N2741" s="3"/>
      <c r="Q2741" s="3"/>
      <c r="R2741" s="3"/>
      <c r="S2741" s="3"/>
      <c r="V2741" s="3"/>
      <c r="W2741" s="3"/>
      <c r="X2741" s="3"/>
      <c r="Y2741" s="3"/>
      <c r="Z2741" s="3"/>
      <c r="AA2741" s="3"/>
      <c r="AB2741" s="3"/>
    </row>
    <row r="2742" spans="1:28" x14ac:dyDescent="0.3">
      <c r="A2742" s="2"/>
      <c r="F2742" s="3"/>
      <c r="G2742" s="3"/>
      <c r="N2742" s="3"/>
      <c r="Q2742" s="3"/>
      <c r="R2742" s="3"/>
      <c r="S2742" s="3"/>
      <c r="V2742" s="3"/>
      <c r="W2742" s="3"/>
      <c r="X2742" s="3"/>
      <c r="Y2742" s="3"/>
      <c r="Z2742" s="3"/>
      <c r="AA2742" s="3"/>
      <c r="AB2742" s="3"/>
    </row>
    <row r="2743" spans="1:28" x14ac:dyDescent="0.3">
      <c r="A2743" s="2"/>
      <c r="F2743" s="3"/>
      <c r="G2743" s="3"/>
      <c r="N2743" s="3"/>
      <c r="Q2743" s="3"/>
      <c r="R2743" s="3"/>
      <c r="S2743" s="3"/>
      <c r="V2743" s="3"/>
      <c r="W2743" s="3"/>
      <c r="X2743" s="3"/>
      <c r="Y2743" s="3"/>
      <c r="Z2743" s="3"/>
      <c r="AA2743" s="3"/>
      <c r="AB2743" s="3"/>
    </row>
    <row r="2744" spans="1:28" x14ac:dyDescent="0.3">
      <c r="A2744" s="2"/>
      <c r="F2744" s="3"/>
      <c r="G2744" s="3"/>
      <c r="N2744" s="3"/>
      <c r="Q2744" s="3"/>
      <c r="R2744" s="3"/>
      <c r="S2744" s="3"/>
      <c r="V2744" s="3"/>
      <c r="W2744" s="3"/>
      <c r="X2744" s="3"/>
      <c r="Y2744" s="3"/>
      <c r="Z2744" s="3"/>
      <c r="AA2744" s="3"/>
      <c r="AB2744" s="3"/>
    </row>
    <row r="2745" spans="1:28" x14ac:dyDescent="0.3">
      <c r="A2745" s="2"/>
      <c r="F2745" s="3"/>
      <c r="G2745" s="3"/>
      <c r="N2745" s="3"/>
      <c r="Q2745" s="3"/>
      <c r="R2745" s="3"/>
      <c r="S2745" s="3"/>
      <c r="V2745" s="3"/>
      <c r="W2745" s="3"/>
      <c r="X2745" s="3"/>
      <c r="Y2745" s="3"/>
      <c r="Z2745" s="3"/>
      <c r="AA2745" s="3"/>
      <c r="AB2745" s="3"/>
    </row>
    <row r="2746" spans="1:28" x14ac:dyDescent="0.3">
      <c r="A2746" s="2"/>
      <c r="F2746" s="3"/>
      <c r="G2746" s="3"/>
      <c r="N2746" s="3"/>
      <c r="Q2746" s="3"/>
      <c r="R2746" s="3"/>
      <c r="S2746" s="3"/>
      <c r="V2746" s="3"/>
      <c r="W2746" s="3"/>
      <c r="X2746" s="3"/>
      <c r="Y2746" s="3"/>
      <c r="Z2746" s="3"/>
      <c r="AA2746" s="3"/>
      <c r="AB2746" s="3"/>
    </row>
    <row r="2747" spans="1:28" x14ac:dyDescent="0.3">
      <c r="A2747" s="2"/>
      <c r="F2747" s="3"/>
      <c r="G2747" s="3"/>
      <c r="N2747" s="3"/>
      <c r="Q2747" s="3"/>
      <c r="R2747" s="3"/>
      <c r="S2747" s="3"/>
      <c r="V2747" s="3"/>
      <c r="W2747" s="3"/>
      <c r="X2747" s="3"/>
      <c r="Y2747" s="3"/>
      <c r="Z2747" s="3"/>
      <c r="AA2747" s="3"/>
      <c r="AB2747" s="3"/>
    </row>
    <row r="2748" spans="1:28" x14ac:dyDescent="0.3">
      <c r="A2748" s="2"/>
      <c r="F2748" s="3"/>
      <c r="G2748" s="3"/>
      <c r="N2748" s="3"/>
      <c r="Q2748" s="3"/>
      <c r="R2748" s="3"/>
      <c r="S2748" s="3"/>
      <c r="V2748" s="3"/>
      <c r="W2748" s="3"/>
      <c r="X2748" s="3"/>
      <c r="Y2748" s="3"/>
      <c r="Z2748" s="3"/>
      <c r="AA2748" s="3"/>
      <c r="AB2748" s="3"/>
    </row>
    <row r="2749" spans="1:28" x14ac:dyDescent="0.3">
      <c r="A2749" s="2"/>
      <c r="F2749" s="3"/>
      <c r="G2749" s="3"/>
      <c r="N2749" s="3"/>
      <c r="Q2749" s="3"/>
      <c r="R2749" s="3"/>
      <c r="S2749" s="3"/>
      <c r="V2749" s="3"/>
      <c r="W2749" s="3"/>
      <c r="X2749" s="3"/>
      <c r="Y2749" s="3"/>
      <c r="Z2749" s="3"/>
      <c r="AA2749" s="3"/>
      <c r="AB2749" s="3"/>
    </row>
    <row r="2750" spans="1:28" x14ac:dyDescent="0.3">
      <c r="A2750" s="2"/>
      <c r="F2750" s="3"/>
      <c r="G2750" s="3"/>
      <c r="N2750" s="3"/>
      <c r="Q2750" s="3"/>
      <c r="R2750" s="3"/>
      <c r="S2750" s="3"/>
      <c r="V2750" s="3"/>
      <c r="W2750" s="3"/>
      <c r="X2750" s="3"/>
      <c r="Y2750" s="3"/>
      <c r="Z2750" s="3"/>
      <c r="AA2750" s="3"/>
      <c r="AB2750" s="3"/>
    </row>
    <row r="2751" spans="1:28" x14ac:dyDescent="0.3">
      <c r="A2751" s="2"/>
      <c r="F2751" s="3"/>
      <c r="G2751" s="3"/>
      <c r="N2751" s="3"/>
      <c r="Q2751" s="3"/>
      <c r="R2751" s="3"/>
      <c r="S2751" s="3"/>
      <c r="V2751" s="3"/>
      <c r="W2751" s="3"/>
      <c r="X2751" s="3"/>
      <c r="Y2751" s="3"/>
      <c r="Z2751" s="3"/>
      <c r="AA2751" s="3"/>
      <c r="AB2751" s="3"/>
    </row>
    <row r="2752" spans="1:28" x14ac:dyDescent="0.3">
      <c r="A2752" s="2"/>
      <c r="F2752" s="3"/>
      <c r="G2752" s="3"/>
      <c r="N2752" s="3"/>
      <c r="Q2752" s="3"/>
      <c r="R2752" s="3"/>
      <c r="S2752" s="3"/>
      <c r="V2752" s="3"/>
      <c r="W2752" s="3"/>
      <c r="X2752" s="3"/>
      <c r="Y2752" s="3"/>
      <c r="Z2752" s="3"/>
      <c r="AA2752" s="3"/>
      <c r="AB2752" s="3"/>
    </row>
    <row r="2753" spans="1:28" x14ac:dyDescent="0.3">
      <c r="A2753" s="2"/>
      <c r="F2753" s="3"/>
      <c r="G2753" s="3"/>
      <c r="N2753" s="3"/>
      <c r="Q2753" s="3"/>
      <c r="R2753" s="3"/>
      <c r="S2753" s="3"/>
      <c r="V2753" s="3"/>
      <c r="W2753" s="3"/>
      <c r="X2753" s="3"/>
      <c r="Y2753" s="3"/>
      <c r="Z2753" s="3"/>
      <c r="AA2753" s="3"/>
      <c r="AB2753" s="3"/>
    </row>
    <row r="2754" spans="1:28" x14ac:dyDescent="0.3">
      <c r="A2754" s="2"/>
      <c r="F2754" s="3"/>
      <c r="G2754" s="3"/>
      <c r="N2754" s="3"/>
      <c r="Q2754" s="3"/>
      <c r="R2754" s="3"/>
      <c r="S2754" s="3"/>
      <c r="V2754" s="3"/>
      <c r="W2754" s="3"/>
      <c r="X2754" s="3"/>
      <c r="Y2754" s="3"/>
      <c r="Z2754" s="3"/>
      <c r="AA2754" s="3"/>
      <c r="AB2754" s="3"/>
    </row>
    <row r="2755" spans="1:28" x14ac:dyDescent="0.3">
      <c r="A2755" s="2"/>
      <c r="F2755" s="3"/>
      <c r="G2755" s="3"/>
      <c r="N2755" s="3"/>
      <c r="Q2755" s="3"/>
      <c r="R2755" s="3"/>
      <c r="S2755" s="3"/>
      <c r="V2755" s="3"/>
      <c r="W2755" s="3"/>
      <c r="X2755" s="3"/>
      <c r="Y2755" s="3"/>
      <c r="Z2755" s="3"/>
      <c r="AA2755" s="3"/>
      <c r="AB2755" s="3"/>
    </row>
    <row r="2756" spans="1:28" x14ac:dyDescent="0.3">
      <c r="A2756" s="2"/>
      <c r="F2756" s="3"/>
      <c r="G2756" s="3"/>
      <c r="N2756" s="3"/>
      <c r="Q2756" s="3"/>
      <c r="R2756" s="3"/>
      <c r="S2756" s="3"/>
      <c r="V2756" s="3"/>
      <c r="W2756" s="3"/>
      <c r="X2756" s="3"/>
      <c r="Y2756" s="3"/>
      <c r="Z2756" s="3"/>
      <c r="AA2756" s="3"/>
      <c r="AB2756" s="3"/>
    </row>
    <row r="2757" spans="1:28" x14ac:dyDescent="0.3">
      <c r="A2757" s="2"/>
      <c r="F2757" s="3"/>
      <c r="G2757" s="3"/>
      <c r="N2757" s="3"/>
      <c r="Q2757" s="3"/>
      <c r="R2757" s="3"/>
      <c r="S2757" s="3"/>
      <c r="V2757" s="3"/>
      <c r="W2757" s="3"/>
      <c r="X2757" s="3"/>
      <c r="Y2757" s="3"/>
      <c r="Z2757" s="3"/>
      <c r="AA2757" s="3"/>
      <c r="AB2757" s="3"/>
    </row>
    <row r="2758" spans="1:28" x14ac:dyDescent="0.3">
      <c r="A2758" s="2"/>
      <c r="F2758" s="3"/>
      <c r="G2758" s="3"/>
      <c r="N2758" s="3"/>
      <c r="Q2758" s="3"/>
      <c r="R2758" s="3"/>
      <c r="S2758" s="3"/>
      <c r="V2758" s="3"/>
      <c r="W2758" s="3"/>
      <c r="X2758" s="3"/>
      <c r="Y2758" s="3"/>
      <c r="Z2758" s="3"/>
      <c r="AA2758" s="3"/>
      <c r="AB2758" s="3"/>
    </row>
    <row r="2759" spans="1:28" x14ac:dyDescent="0.3">
      <c r="A2759" s="2"/>
      <c r="F2759" s="3"/>
      <c r="G2759" s="3"/>
      <c r="N2759" s="3"/>
      <c r="Q2759" s="3"/>
      <c r="R2759" s="3"/>
      <c r="S2759" s="3"/>
      <c r="V2759" s="3"/>
      <c r="W2759" s="3"/>
      <c r="X2759" s="3"/>
      <c r="Y2759" s="3"/>
      <c r="Z2759" s="3"/>
      <c r="AA2759" s="3"/>
      <c r="AB2759" s="3"/>
    </row>
    <row r="2760" spans="1:28" x14ac:dyDescent="0.3">
      <c r="A2760" s="2"/>
      <c r="F2760" s="3"/>
      <c r="G2760" s="3"/>
      <c r="N2760" s="3"/>
      <c r="Q2760" s="3"/>
      <c r="R2760" s="3"/>
      <c r="S2760" s="3"/>
      <c r="V2760" s="3"/>
      <c r="W2760" s="3"/>
      <c r="X2760" s="3"/>
      <c r="Y2760" s="3"/>
      <c r="Z2760" s="3"/>
      <c r="AA2760" s="3"/>
      <c r="AB2760" s="3"/>
    </row>
    <row r="2761" spans="1:28" x14ac:dyDescent="0.3">
      <c r="A2761" s="2"/>
      <c r="F2761" s="3"/>
      <c r="G2761" s="3"/>
      <c r="N2761" s="3"/>
      <c r="Q2761" s="3"/>
      <c r="R2761" s="3"/>
      <c r="S2761" s="3"/>
      <c r="V2761" s="3"/>
      <c r="W2761" s="3"/>
      <c r="X2761" s="3"/>
      <c r="Y2761" s="3"/>
      <c r="Z2761" s="3"/>
      <c r="AA2761" s="3"/>
      <c r="AB2761" s="3"/>
    </row>
    <row r="2762" spans="1:28" x14ac:dyDescent="0.3">
      <c r="A2762" s="2"/>
      <c r="F2762" s="3"/>
      <c r="G2762" s="3"/>
      <c r="N2762" s="3"/>
      <c r="Q2762" s="3"/>
      <c r="R2762" s="3"/>
      <c r="S2762" s="3"/>
      <c r="V2762" s="3"/>
      <c r="W2762" s="3"/>
      <c r="X2762" s="3"/>
      <c r="Y2762" s="3"/>
      <c r="Z2762" s="3"/>
      <c r="AA2762" s="3"/>
      <c r="AB2762" s="3"/>
    </row>
    <row r="2763" spans="1:28" x14ac:dyDescent="0.3">
      <c r="A2763" s="2"/>
      <c r="F2763" s="3"/>
      <c r="G2763" s="3"/>
      <c r="N2763" s="3"/>
      <c r="Q2763" s="3"/>
      <c r="R2763" s="3"/>
      <c r="S2763" s="3"/>
      <c r="V2763" s="3"/>
      <c r="W2763" s="3"/>
      <c r="X2763" s="3"/>
      <c r="Y2763" s="3"/>
      <c r="Z2763" s="3"/>
      <c r="AA2763" s="3"/>
      <c r="AB2763" s="3"/>
    </row>
    <row r="2764" spans="1:28" x14ac:dyDescent="0.3">
      <c r="A2764" s="2"/>
      <c r="F2764" s="3"/>
      <c r="G2764" s="3"/>
      <c r="N2764" s="3"/>
      <c r="Q2764" s="3"/>
      <c r="R2764" s="3"/>
      <c r="S2764" s="3"/>
      <c r="V2764" s="3"/>
      <c r="W2764" s="3"/>
      <c r="X2764" s="3"/>
      <c r="Y2764" s="3"/>
      <c r="Z2764" s="3"/>
      <c r="AA2764" s="3"/>
      <c r="AB2764" s="3"/>
    </row>
    <row r="2765" spans="1:28" x14ac:dyDescent="0.3">
      <c r="A2765" s="2"/>
      <c r="F2765" s="3"/>
      <c r="G2765" s="3"/>
      <c r="N2765" s="3"/>
      <c r="Q2765" s="3"/>
      <c r="R2765" s="3"/>
      <c r="S2765" s="3"/>
      <c r="V2765" s="3"/>
      <c r="W2765" s="3"/>
      <c r="X2765" s="3"/>
      <c r="Y2765" s="3"/>
      <c r="Z2765" s="3"/>
      <c r="AA2765" s="3"/>
      <c r="AB2765" s="3"/>
    </row>
    <row r="2766" spans="1:28" x14ac:dyDescent="0.3">
      <c r="A2766" s="2"/>
      <c r="F2766" s="3"/>
      <c r="G2766" s="3"/>
      <c r="N2766" s="3"/>
      <c r="Q2766" s="3"/>
      <c r="R2766" s="3"/>
      <c r="S2766" s="3"/>
      <c r="V2766" s="3"/>
      <c r="W2766" s="3"/>
      <c r="X2766" s="3"/>
      <c r="Y2766" s="3"/>
      <c r="Z2766" s="3"/>
      <c r="AA2766" s="3"/>
      <c r="AB2766" s="3"/>
    </row>
    <row r="2767" spans="1:28" x14ac:dyDescent="0.3">
      <c r="A2767" s="2"/>
      <c r="F2767" s="3"/>
      <c r="G2767" s="3"/>
      <c r="N2767" s="3"/>
      <c r="Q2767" s="3"/>
      <c r="R2767" s="3"/>
      <c r="S2767" s="3"/>
      <c r="V2767" s="3"/>
      <c r="W2767" s="3"/>
      <c r="X2767" s="3"/>
      <c r="Y2767" s="3"/>
      <c r="Z2767" s="3"/>
      <c r="AA2767" s="3"/>
      <c r="AB2767" s="3"/>
    </row>
    <row r="2768" spans="1:28" x14ac:dyDescent="0.3">
      <c r="A2768" s="2"/>
      <c r="F2768" s="3"/>
      <c r="G2768" s="3"/>
      <c r="N2768" s="3"/>
      <c r="Q2768" s="3"/>
      <c r="R2768" s="3"/>
      <c r="S2768" s="3"/>
      <c r="V2768" s="3"/>
      <c r="W2768" s="3"/>
      <c r="X2768" s="3"/>
      <c r="Y2768" s="3"/>
      <c r="Z2768" s="3"/>
      <c r="AA2768" s="3"/>
      <c r="AB2768" s="3"/>
    </row>
    <row r="2769" spans="1:28" x14ac:dyDescent="0.3">
      <c r="A2769" s="2"/>
      <c r="F2769" s="3"/>
      <c r="G2769" s="3"/>
      <c r="N2769" s="3"/>
      <c r="Q2769" s="3"/>
      <c r="R2769" s="3"/>
      <c r="S2769" s="3"/>
      <c r="V2769" s="3"/>
      <c r="W2769" s="3"/>
      <c r="X2769" s="3"/>
      <c r="Y2769" s="3"/>
      <c r="Z2769" s="3"/>
      <c r="AA2769" s="3"/>
      <c r="AB2769" s="3"/>
    </row>
    <row r="2770" spans="1:28" x14ac:dyDescent="0.3">
      <c r="A2770" s="2"/>
      <c r="F2770" s="3"/>
      <c r="G2770" s="3"/>
      <c r="N2770" s="3"/>
      <c r="Q2770" s="3"/>
      <c r="R2770" s="3"/>
      <c r="S2770" s="3"/>
      <c r="V2770" s="3"/>
      <c r="W2770" s="3"/>
      <c r="X2770" s="3"/>
      <c r="Y2770" s="3"/>
      <c r="Z2770" s="3"/>
      <c r="AA2770" s="3"/>
      <c r="AB2770" s="3"/>
    </row>
    <row r="2771" spans="1:28" x14ac:dyDescent="0.3">
      <c r="A2771" s="2"/>
      <c r="F2771" s="3"/>
      <c r="G2771" s="3"/>
      <c r="N2771" s="3"/>
      <c r="Q2771" s="3"/>
      <c r="R2771" s="3"/>
      <c r="S2771" s="3"/>
      <c r="V2771" s="3"/>
      <c r="W2771" s="3"/>
      <c r="X2771" s="3"/>
      <c r="Y2771" s="3"/>
      <c r="Z2771" s="3"/>
      <c r="AA2771" s="3"/>
      <c r="AB2771" s="3"/>
    </row>
    <row r="2772" spans="1:28" x14ac:dyDescent="0.3">
      <c r="A2772" s="2"/>
      <c r="F2772" s="3"/>
      <c r="G2772" s="3"/>
      <c r="N2772" s="3"/>
      <c r="Q2772" s="3"/>
      <c r="R2772" s="3"/>
      <c r="S2772" s="3"/>
      <c r="V2772" s="3"/>
      <c r="W2772" s="3"/>
      <c r="X2772" s="3"/>
      <c r="Y2772" s="3"/>
      <c r="Z2772" s="3"/>
      <c r="AA2772" s="3"/>
      <c r="AB2772" s="3"/>
    </row>
    <row r="2773" spans="1:28" x14ac:dyDescent="0.3">
      <c r="A2773" s="2"/>
      <c r="F2773" s="3"/>
      <c r="G2773" s="3"/>
      <c r="N2773" s="3"/>
      <c r="Q2773" s="3"/>
      <c r="R2773" s="3"/>
      <c r="S2773" s="3"/>
      <c r="V2773" s="3"/>
      <c r="W2773" s="3"/>
      <c r="X2773" s="3"/>
      <c r="Y2773" s="3"/>
      <c r="Z2773" s="3"/>
      <c r="AA2773" s="3"/>
      <c r="AB2773" s="3"/>
    </row>
    <row r="2774" spans="1:28" x14ac:dyDescent="0.3">
      <c r="A2774" s="2"/>
      <c r="F2774" s="3"/>
      <c r="G2774" s="3"/>
      <c r="N2774" s="3"/>
      <c r="Q2774" s="3"/>
      <c r="R2774" s="3"/>
      <c r="S2774" s="3"/>
      <c r="V2774" s="3"/>
      <c r="W2774" s="3"/>
      <c r="X2774" s="3"/>
      <c r="Y2774" s="3"/>
      <c r="Z2774" s="3"/>
      <c r="AA2774" s="3"/>
      <c r="AB2774" s="3"/>
    </row>
    <row r="2775" spans="1:28" x14ac:dyDescent="0.3">
      <c r="A2775" s="2"/>
      <c r="F2775" s="3"/>
      <c r="G2775" s="3"/>
      <c r="N2775" s="3"/>
      <c r="Q2775" s="3"/>
      <c r="R2775" s="3"/>
      <c r="S2775" s="3"/>
      <c r="V2775" s="3"/>
      <c r="W2775" s="3"/>
      <c r="X2775" s="3"/>
      <c r="Y2775" s="3"/>
      <c r="Z2775" s="3"/>
      <c r="AA2775" s="3"/>
      <c r="AB2775" s="3"/>
    </row>
    <row r="2776" spans="1:28" x14ac:dyDescent="0.3">
      <c r="A2776" s="2"/>
      <c r="F2776" s="3"/>
      <c r="G2776" s="3"/>
      <c r="N2776" s="3"/>
      <c r="Q2776" s="3"/>
      <c r="R2776" s="3"/>
      <c r="S2776" s="3"/>
      <c r="V2776" s="3"/>
      <c r="W2776" s="3"/>
      <c r="X2776" s="3"/>
      <c r="Y2776" s="3"/>
      <c r="Z2776" s="3"/>
      <c r="AA2776" s="3"/>
      <c r="AB2776" s="3"/>
    </row>
    <row r="2777" spans="1:28" x14ac:dyDescent="0.3">
      <c r="A2777" s="2"/>
      <c r="F2777" s="3"/>
      <c r="G2777" s="3"/>
      <c r="N2777" s="3"/>
      <c r="Q2777" s="3"/>
      <c r="R2777" s="3"/>
      <c r="S2777" s="3"/>
      <c r="V2777" s="3"/>
      <c r="W2777" s="3"/>
      <c r="X2777" s="3"/>
      <c r="Y2777" s="3"/>
      <c r="Z2777" s="3"/>
      <c r="AA2777" s="3"/>
      <c r="AB2777" s="3"/>
    </row>
    <row r="2778" spans="1:28" x14ac:dyDescent="0.3">
      <c r="A2778" s="2"/>
      <c r="F2778" s="3"/>
      <c r="G2778" s="3"/>
      <c r="N2778" s="3"/>
      <c r="Q2778" s="3"/>
      <c r="R2778" s="3"/>
      <c r="S2778" s="3"/>
      <c r="V2778" s="3"/>
      <c r="W2778" s="3"/>
      <c r="X2778" s="3"/>
      <c r="Y2778" s="3"/>
      <c r="Z2778" s="3"/>
      <c r="AA2778" s="3"/>
      <c r="AB2778" s="3"/>
    </row>
    <row r="2779" spans="1:28" x14ac:dyDescent="0.3">
      <c r="A2779" s="2"/>
      <c r="F2779" s="3"/>
      <c r="G2779" s="3"/>
      <c r="N2779" s="3"/>
      <c r="Q2779" s="3"/>
      <c r="R2779" s="3"/>
      <c r="S2779" s="3"/>
      <c r="V2779" s="3"/>
      <c r="W2779" s="3"/>
      <c r="X2779" s="3"/>
      <c r="Y2779" s="3"/>
      <c r="Z2779" s="3"/>
      <c r="AA2779" s="3"/>
      <c r="AB2779" s="3"/>
    </row>
    <row r="2780" spans="1:28" x14ac:dyDescent="0.3">
      <c r="A2780" s="2"/>
      <c r="F2780" s="3"/>
      <c r="G2780" s="3"/>
      <c r="N2780" s="3"/>
      <c r="Q2780" s="3"/>
      <c r="R2780" s="3"/>
      <c r="S2780" s="3"/>
      <c r="V2780" s="3"/>
      <c r="W2780" s="3"/>
      <c r="X2780" s="3"/>
      <c r="Y2780" s="3"/>
      <c r="Z2780" s="3"/>
      <c r="AA2780" s="3"/>
      <c r="AB2780" s="3"/>
    </row>
    <row r="2781" spans="1:28" x14ac:dyDescent="0.3">
      <c r="A2781" s="2"/>
      <c r="F2781" s="3"/>
      <c r="G2781" s="3"/>
      <c r="N2781" s="3"/>
      <c r="Q2781" s="3"/>
      <c r="R2781" s="3"/>
      <c r="S2781" s="3"/>
      <c r="V2781" s="3"/>
      <c r="W2781" s="3"/>
      <c r="X2781" s="3"/>
      <c r="Y2781" s="3"/>
      <c r="Z2781" s="3"/>
      <c r="AA2781" s="3"/>
      <c r="AB2781" s="3"/>
    </row>
    <row r="2782" spans="1:28" x14ac:dyDescent="0.3">
      <c r="A2782" s="2"/>
      <c r="F2782" s="3"/>
      <c r="G2782" s="3"/>
      <c r="N2782" s="3"/>
      <c r="Q2782" s="3"/>
      <c r="R2782" s="3"/>
      <c r="S2782" s="3"/>
      <c r="V2782" s="3"/>
      <c r="W2782" s="3"/>
      <c r="X2782" s="3"/>
      <c r="Y2782" s="3"/>
      <c r="Z2782" s="3"/>
      <c r="AA2782" s="3"/>
      <c r="AB2782" s="3"/>
    </row>
    <row r="2783" spans="1:28" x14ac:dyDescent="0.3">
      <c r="A2783" s="2"/>
      <c r="F2783" s="3"/>
      <c r="G2783" s="3"/>
      <c r="N2783" s="3"/>
      <c r="Q2783" s="3"/>
      <c r="R2783" s="3"/>
      <c r="S2783" s="3"/>
      <c r="V2783" s="3"/>
      <c r="W2783" s="3"/>
      <c r="X2783" s="3"/>
      <c r="Y2783" s="3"/>
      <c r="Z2783" s="3"/>
      <c r="AA2783" s="3"/>
      <c r="AB2783" s="3"/>
    </row>
    <row r="2784" spans="1:28" x14ac:dyDescent="0.3">
      <c r="A2784" s="2"/>
      <c r="F2784" s="3"/>
      <c r="G2784" s="3"/>
      <c r="N2784" s="3"/>
      <c r="Q2784" s="3"/>
      <c r="R2784" s="3"/>
      <c r="S2784" s="3"/>
      <c r="V2784" s="3"/>
      <c r="W2784" s="3"/>
      <c r="X2784" s="3"/>
      <c r="Y2784" s="3"/>
      <c r="Z2784" s="3"/>
      <c r="AA2784" s="3"/>
      <c r="AB2784" s="3"/>
    </row>
    <row r="2785" spans="1:28" x14ac:dyDescent="0.3">
      <c r="A2785" s="2"/>
      <c r="F2785" s="3"/>
      <c r="G2785" s="3"/>
      <c r="N2785" s="3"/>
      <c r="Q2785" s="3"/>
      <c r="R2785" s="3"/>
      <c r="S2785" s="3"/>
      <c r="V2785" s="3"/>
      <c r="W2785" s="3"/>
      <c r="X2785" s="3"/>
      <c r="Y2785" s="3"/>
      <c r="Z2785" s="3"/>
      <c r="AA2785" s="3"/>
      <c r="AB2785" s="3"/>
    </row>
    <row r="2786" spans="1:28" x14ac:dyDescent="0.3">
      <c r="A2786" s="2"/>
      <c r="F2786" s="3"/>
      <c r="G2786" s="3"/>
      <c r="N2786" s="3"/>
      <c r="Q2786" s="3"/>
      <c r="R2786" s="3"/>
      <c r="S2786" s="3"/>
      <c r="V2786" s="3"/>
      <c r="W2786" s="3"/>
      <c r="X2786" s="3"/>
      <c r="Y2786" s="3"/>
      <c r="Z2786" s="3"/>
      <c r="AA2786" s="3"/>
      <c r="AB2786" s="3"/>
    </row>
    <row r="2787" spans="1:28" x14ac:dyDescent="0.3">
      <c r="A2787" s="2"/>
      <c r="F2787" s="3"/>
      <c r="G2787" s="3"/>
      <c r="N2787" s="3"/>
      <c r="Q2787" s="3"/>
      <c r="R2787" s="3"/>
      <c r="S2787" s="3"/>
      <c r="V2787" s="3"/>
      <c r="W2787" s="3"/>
      <c r="X2787" s="3"/>
      <c r="Y2787" s="3"/>
      <c r="Z2787" s="3"/>
      <c r="AA2787" s="3"/>
      <c r="AB2787" s="3"/>
    </row>
    <row r="2788" spans="1:28" x14ac:dyDescent="0.3">
      <c r="A2788" s="2"/>
      <c r="F2788" s="3"/>
      <c r="G2788" s="3"/>
      <c r="N2788" s="3"/>
      <c r="Q2788" s="3"/>
      <c r="R2788" s="3"/>
      <c r="S2788" s="3"/>
      <c r="V2788" s="3"/>
      <c r="W2788" s="3"/>
      <c r="X2788" s="3"/>
      <c r="Y2788" s="3"/>
      <c r="Z2788" s="3"/>
      <c r="AA2788" s="3"/>
      <c r="AB2788" s="3"/>
    </row>
    <row r="2789" spans="1:28" x14ac:dyDescent="0.3">
      <c r="A2789" s="2"/>
      <c r="F2789" s="3"/>
      <c r="G2789" s="3"/>
      <c r="N2789" s="3"/>
      <c r="Q2789" s="3"/>
      <c r="R2789" s="3"/>
      <c r="S2789" s="3"/>
      <c r="V2789" s="3"/>
      <c r="W2789" s="3"/>
      <c r="X2789" s="3"/>
      <c r="Y2789" s="3"/>
      <c r="Z2789" s="3"/>
      <c r="AA2789" s="3"/>
      <c r="AB2789" s="3"/>
    </row>
    <row r="2790" spans="1:28" x14ac:dyDescent="0.3">
      <c r="A2790" s="2"/>
      <c r="F2790" s="3"/>
      <c r="G2790" s="3"/>
      <c r="N2790" s="3"/>
      <c r="Q2790" s="3"/>
      <c r="R2790" s="3"/>
      <c r="S2790" s="3"/>
      <c r="V2790" s="3"/>
      <c r="W2790" s="3"/>
      <c r="X2790" s="3"/>
      <c r="Y2790" s="3"/>
      <c r="Z2790" s="3"/>
      <c r="AA2790" s="3"/>
      <c r="AB2790" s="3"/>
    </row>
    <row r="2791" spans="1:28" x14ac:dyDescent="0.3">
      <c r="A2791" s="2"/>
      <c r="F2791" s="3"/>
      <c r="G2791" s="3"/>
      <c r="N2791" s="3"/>
      <c r="Q2791" s="3"/>
      <c r="R2791" s="3"/>
      <c r="S2791" s="3"/>
      <c r="V2791" s="3"/>
      <c r="W2791" s="3"/>
      <c r="X2791" s="3"/>
      <c r="Y2791" s="3"/>
      <c r="Z2791" s="3"/>
      <c r="AA2791" s="3"/>
      <c r="AB2791" s="3"/>
    </row>
    <row r="2792" spans="1:28" x14ac:dyDescent="0.3">
      <c r="A2792" s="2"/>
      <c r="F2792" s="3"/>
      <c r="G2792" s="3"/>
      <c r="N2792" s="3"/>
      <c r="Q2792" s="3"/>
      <c r="R2792" s="3"/>
      <c r="S2792" s="3"/>
      <c r="V2792" s="3"/>
      <c r="W2792" s="3"/>
      <c r="X2792" s="3"/>
      <c r="Y2792" s="3"/>
      <c r="Z2792" s="3"/>
      <c r="AA2792" s="3"/>
      <c r="AB2792" s="3"/>
    </row>
    <row r="2793" spans="1:28" x14ac:dyDescent="0.3">
      <c r="A2793" s="2"/>
      <c r="F2793" s="3"/>
      <c r="G2793" s="3"/>
      <c r="N2793" s="3"/>
      <c r="Q2793" s="3"/>
      <c r="R2793" s="3"/>
      <c r="S2793" s="3"/>
      <c r="V2793" s="3"/>
      <c r="W2793" s="3"/>
      <c r="X2793" s="3"/>
      <c r="Y2793" s="3"/>
      <c r="Z2793" s="3"/>
      <c r="AA2793" s="3"/>
      <c r="AB2793" s="3"/>
    </row>
    <row r="2794" spans="1:28" x14ac:dyDescent="0.3">
      <c r="A2794" s="2"/>
      <c r="F2794" s="3"/>
      <c r="G2794" s="3"/>
      <c r="N2794" s="3"/>
      <c r="Q2794" s="3"/>
      <c r="R2794" s="3"/>
      <c r="S2794" s="3"/>
      <c r="V2794" s="3"/>
      <c r="W2794" s="3"/>
      <c r="X2794" s="3"/>
      <c r="Y2794" s="3"/>
      <c r="Z2794" s="3"/>
      <c r="AA2794" s="3"/>
      <c r="AB2794" s="3"/>
    </row>
    <row r="2795" spans="1:28" x14ac:dyDescent="0.3">
      <c r="A2795" s="2"/>
      <c r="F2795" s="3"/>
      <c r="G2795" s="3"/>
      <c r="N2795" s="3"/>
      <c r="Q2795" s="3"/>
      <c r="R2795" s="3"/>
      <c r="S2795" s="3"/>
      <c r="V2795" s="3"/>
      <c r="W2795" s="3"/>
      <c r="X2795" s="3"/>
      <c r="Y2795" s="3"/>
      <c r="Z2795" s="3"/>
      <c r="AA2795" s="3"/>
      <c r="AB2795" s="3"/>
    </row>
    <row r="2796" spans="1:28" x14ac:dyDescent="0.3">
      <c r="A2796" s="2"/>
      <c r="F2796" s="3"/>
      <c r="G2796" s="3"/>
      <c r="N2796" s="3"/>
      <c r="Q2796" s="3"/>
      <c r="R2796" s="3"/>
      <c r="S2796" s="3"/>
      <c r="V2796" s="3"/>
      <c r="W2796" s="3"/>
      <c r="X2796" s="3"/>
      <c r="Y2796" s="3"/>
      <c r="Z2796" s="3"/>
      <c r="AA2796" s="3"/>
      <c r="AB2796" s="3"/>
    </row>
    <row r="2797" spans="1:28" x14ac:dyDescent="0.3">
      <c r="A2797" s="2"/>
      <c r="F2797" s="3"/>
      <c r="G2797" s="3"/>
      <c r="N2797" s="3"/>
      <c r="Q2797" s="3"/>
      <c r="R2797" s="3"/>
      <c r="S2797" s="3"/>
      <c r="V2797" s="3"/>
      <c r="W2797" s="3"/>
      <c r="X2797" s="3"/>
      <c r="Y2797" s="3"/>
      <c r="Z2797" s="3"/>
      <c r="AA2797" s="3"/>
      <c r="AB2797" s="3"/>
    </row>
    <row r="2798" spans="1:28" x14ac:dyDescent="0.3">
      <c r="A2798" s="2"/>
      <c r="F2798" s="3"/>
      <c r="G2798" s="3"/>
      <c r="N2798" s="3"/>
      <c r="Q2798" s="3"/>
      <c r="R2798" s="3"/>
      <c r="S2798" s="3"/>
      <c r="V2798" s="3"/>
      <c r="W2798" s="3"/>
      <c r="X2798" s="3"/>
      <c r="Y2798" s="3"/>
      <c r="Z2798" s="3"/>
      <c r="AA2798" s="3"/>
      <c r="AB2798" s="3"/>
    </row>
    <row r="2799" spans="1:28" x14ac:dyDescent="0.3">
      <c r="A2799" s="2"/>
      <c r="F2799" s="3"/>
      <c r="G2799" s="3"/>
      <c r="N2799" s="3"/>
      <c r="Q2799" s="3"/>
      <c r="R2799" s="3"/>
      <c r="S2799" s="3"/>
      <c r="V2799" s="3"/>
      <c r="W2799" s="3"/>
      <c r="X2799" s="3"/>
      <c r="Y2799" s="3"/>
      <c r="Z2799" s="3"/>
      <c r="AA2799" s="3"/>
      <c r="AB2799" s="3"/>
    </row>
    <row r="2800" spans="1:28" x14ac:dyDescent="0.3">
      <c r="A2800" s="2"/>
      <c r="F2800" s="3"/>
      <c r="G2800" s="3"/>
      <c r="N2800" s="3"/>
      <c r="Q2800" s="3"/>
      <c r="R2800" s="3"/>
      <c r="S2800" s="3"/>
      <c r="V2800" s="3"/>
      <c r="W2800" s="3"/>
      <c r="X2800" s="3"/>
      <c r="Y2800" s="3"/>
      <c r="Z2800" s="3"/>
      <c r="AA2800" s="3"/>
      <c r="AB2800" s="3"/>
    </row>
    <row r="2801" spans="1:28" x14ac:dyDescent="0.3">
      <c r="A2801" s="2"/>
      <c r="F2801" s="3"/>
      <c r="G2801" s="3"/>
      <c r="N2801" s="3"/>
      <c r="Q2801" s="3"/>
      <c r="R2801" s="3"/>
      <c r="S2801" s="3"/>
      <c r="V2801" s="3"/>
      <c r="W2801" s="3"/>
      <c r="X2801" s="3"/>
      <c r="Y2801" s="3"/>
      <c r="Z2801" s="3"/>
      <c r="AA2801" s="3"/>
      <c r="AB2801" s="3"/>
    </row>
    <row r="2802" spans="1:28" x14ac:dyDescent="0.3">
      <c r="A2802" s="2"/>
      <c r="F2802" s="3"/>
      <c r="G2802" s="3"/>
      <c r="N2802" s="3"/>
      <c r="Q2802" s="3"/>
      <c r="R2802" s="3"/>
      <c r="S2802" s="3"/>
      <c r="V2802" s="3"/>
      <c r="W2802" s="3"/>
      <c r="X2802" s="3"/>
      <c r="Y2802" s="3"/>
      <c r="Z2802" s="3"/>
      <c r="AA2802" s="3"/>
      <c r="AB2802" s="3"/>
    </row>
    <row r="2803" spans="1:28" x14ac:dyDescent="0.3">
      <c r="A2803" s="2"/>
      <c r="F2803" s="3"/>
      <c r="G2803" s="3"/>
      <c r="N2803" s="3"/>
      <c r="Q2803" s="3"/>
      <c r="R2803" s="3"/>
      <c r="S2803" s="3"/>
      <c r="V2803" s="3"/>
      <c r="W2803" s="3"/>
      <c r="X2803" s="3"/>
      <c r="Y2803" s="3"/>
      <c r="Z2803" s="3"/>
      <c r="AA2803" s="3"/>
      <c r="AB2803" s="3"/>
    </row>
    <row r="2804" spans="1:28" x14ac:dyDescent="0.3">
      <c r="A2804" s="2"/>
      <c r="F2804" s="3"/>
      <c r="G2804" s="3"/>
      <c r="N2804" s="3"/>
      <c r="Q2804" s="3"/>
      <c r="R2804" s="3"/>
      <c r="S2804" s="3"/>
      <c r="V2804" s="3"/>
      <c r="W2804" s="3"/>
      <c r="X2804" s="3"/>
      <c r="Y2804" s="3"/>
      <c r="Z2804" s="3"/>
      <c r="AA2804" s="3"/>
      <c r="AB2804" s="3"/>
    </row>
    <row r="2805" spans="1:28" x14ac:dyDescent="0.3">
      <c r="A2805" s="2"/>
      <c r="F2805" s="3"/>
      <c r="G2805" s="3"/>
      <c r="N2805" s="3"/>
      <c r="Q2805" s="3"/>
      <c r="R2805" s="3"/>
      <c r="S2805" s="3"/>
      <c r="V2805" s="3"/>
      <c r="W2805" s="3"/>
      <c r="X2805" s="3"/>
      <c r="Y2805" s="3"/>
      <c r="Z2805" s="3"/>
      <c r="AA2805" s="3"/>
      <c r="AB2805" s="3"/>
    </row>
    <row r="2806" spans="1:28" x14ac:dyDescent="0.3">
      <c r="A2806" s="2"/>
      <c r="F2806" s="3"/>
      <c r="G2806" s="3"/>
      <c r="N2806" s="3"/>
      <c r="Q2806" s="3"/>
      <c r="R2806" s="3"/>
      <c r="S2806" s="3"/>
      <c r="V2806" s="3"/>
      <c r="W2806" s="3"/>
      <c r="X2806" s="3"/>
      <c r="Y2806" s="3"/>
      <c r="Z2806" s="3"/>
      <c r="AA2806" s="3"/>
      <c r="AB2806" s="3"/>
    </row>
    <row r="2807" spans="1:28" x14ac:dyDescent="0.3">
      <c r="A2807" s="2"/>
      <c r="F2807" s="3"/>
      <c r="G2807" s="3"/>
      <c r="N2807" s="3"/>
      <c r="Q2807" s="3"/>
      <c r="R2807" s="3"/>
      <c r="S2807" s="3"/>
      <c r="V2807" s="3"/>
      <c r="W2807" s="3"/>
      <c r="X2807" s="3"/>
      <c r="Y2807" s="3"/>
      <c r="Z2807" s="3"/>
      <c r="AA2807" s="3"/>
      <c r="AB2807" s="3"/>
    </row>
    <row r="2808" spans="1:28" x14ac:dyDescent="0.3">
      <c r="A2808" s="2"/>
      <c r="F2808" s="3"/>
      <c r="G2808" s="3"/>
      <c r="N2808" s="3"/>
      <c r="Q2808" s="3"/>
      <c r="R2808" s="3"/>
      <c r="S2808" s="3"/>
      <c r="V2808" s="3"/>
      <c r="W2808" s="3"/>
      <c r="X2808" s="3"/>
      <c r="Y2808" s="3"/>
      <c r="Z2808" s="3"/>
      <c r="AA2808" s="3"/>
      <c r="AB2808" s="3"/>
    </row>
    <row r="2809" spans="1:28" x14ac:dyDescent="0.3">
      <c r="A2809" s="2"/>
      <c r="F2809" s="3"/>
      <c r="G2809" s="3"/>
      <c r="N2809" s="3"/>
      <c r="Q2809" s="3"/>
      <c r="R2809" s="3"/>
      <c r="S2809" s="3"/>
      <c r="V2809" s="3"/>
      <c r="W2809" s="3"/>
      <c r="X2809" s="3"/>
      <c r="Y2809" s="3"/>
      <c r="Z2809" s="3"/>
      <c r="AA2809" s="3"/>
      <c r="AB2809" s="3"/>
    </row>
    <row r="2810" spans="1:28" x14ac:dyDescent="0.3">
      <c r="A2810" s="2"/>
      <c r="F2810" s="3"/>
      <c r="G2810" s="3"/>
      <c r="N2810" s="3"/>
      <c r="Q2810" s="3"/>
      <c r="R2810" s="3"/>
      <c r="S2810" s="3"/>
      <c r="V2810" s="3"/>
      <c r="W2810" s="3"/>
      <c r="X2810" s="3"/>
      <c r="Y2810" s="3"/>
      <c r="Z2810" s="3"/>
      <c r="AA2810" s="3"/>
      <c r="AB2810" s="3"/>
    </row>
    <row r="2811" spans="1:28" x14ac:dyDescent="0.3">
      <c r="A2811" s="2"/>
      <c r="F2811" s="3"/>
      <c r="G2811" s="3"/>
      <c r="N2811" s="3"/>
      <c r="Q2811" s="3"/>
      <c r="R2811" s="3"/>
      <c r="S2811" s="3"/>
      <c r="V2811" s="3"/>
      <c r="W2811" s="3"/>
      <c r="X2811" s="3"/>
      <c r="Y2811" s="3"/>
      <c r="Z2811" s="3"/>
      <c r="AA2811" s="3"/>
      <c r="AB2811" s="3"/>
    </row>
    <row r="2812" spans="1:28" x14ac:dyDescent="0.3">
      <c r="A2812" s="2"/>
      <c r="F2812" s="3"/>
      <c r="G2812" s="3"/>
      <c r="N2812" s="3"/>
      <c r="Q2812" s="3"/>
      <c r="R2812" s="3"/>
      <c r="S2812" s="3"/>
      <c r="V2812" s="3"/>
      <c r="W2812" s="3"/>
      <c r="X2812" s="3"/>
      <c r="Y2812" s="3"/>
      <c r="Z2812" s="3"/>
      <c r="AA2812" s="3"/>
      <c r="AB2812" s="3"/>
    </row>
    <row r="2813" spans="1:28" x14ac:dyDescent="0.3">
      <c r="A2813" s="2"/>
      <c r="F2813" s="3"/>
      <c r="G2813" s="3"/>
      <c r="N2813" s="3"/>
      <c r="Q2813" s="3"/>
      <c r="R2813" s="3"/>
      <c r="S2813" s="3"/>
      <c r="V2813" s="3"/>
      <c r="W2813" s="3"/>
      <c r="X2813" s="3"/>
      <c r="Y2813" s="3"/>
      <c r="Z2813" s="3"/>
      <c r="AA2813" s="3"/>
      <c r="AB2813" s="3"/>
    </row>
    <row r="2814" spans="1:28" x14ac:dyDescent="0.3">
      <c r="A2814" s="2"/>
      <c r="F2814" s="3"/>
      <c r="G2814" s="3"/>
      <c r="N2814" s="3"/>
      <c r="Q2814" s="3"/>
      <c r="R2814" s="3"/>
      <c r="S2814" s="3"/>
      <c r="V2814" s="3"/>
      <c r="W2814" s="3"/>
      <c r="X2814" s="3"/>
      <c r="Y2814" s="3"/>
      <c r="Z2814" s="3"/>
      <c r="AA2814" s="3"/>
      <c r="AB2814" s="3"/>
    </row>
    <row r="2815" spans="1:28" x14ac:dyDescent="0.3">
      <c r="A2815" s="2"/>
      <c r="F2815" s="3"/>
      <c r="G2815" s="3"/>
      <c r="N2815" s="3"/>
      <c r="Q2815" s="3"/>
      <c r="R2815" s="3"/>
      <c r="S2815" s="3"/>
      <c r="V2815" s="3"/>
      <c r="W2815" s="3"/>
      <c r="X2815" s="3"/>
      <c r="Y2815" s="3"/>
      <c r="Z2815" s="3"/>
      <c r="AA2815" s="3"/>
      <c r="AB2815" s="3"/>
    </row>
    <row r="2816" spans="1:28" x14ac:dyDescent="0.3">
      <c r="A2816" s="2"/>
      <c r="F2816" s="3"/>
      <c r="G2816" s="3"/>
      <c r="N2816" s="3"/>
      <c r="Q2816" s="3"/>
      <c r="R2816" s="3"/>
      <c r="S2816" s="3"/>
      <c r="V2816" s="3"/>
      <c r="W2816" s="3"/>
      <c r="X2816" s="3"/>
      <c r="Y2816" s="3"/>
      <c r="Z2816" s="3"/>
      <c r="AA2816" s="3"/>
      <c r="AB2816" s="3"/>
    </row>
    <row r="2817" spans="1:28" x14ac:dyDescent="0.3">
      <c r="A2817" s="2"/>
      <c r="F2817" s="3"/>
      <c r="G2817" s="3"/>
      <c r="N2817" s="3"/>
      <c r="Q2817" s="3"/>
      <c r="R2817" s="3"/>
      <c r="S2817" s="3"/>
      <c r="V2817" s="3"/>
      <c r="W2817" s="3"/>
      <c r="X2817" s="3"/>
      <c r="Y2817" s="3"/>
      <c r="Z2817" s="3"/>
      <c r="AA2817" s="3"/>
      <c r="AB2817" s="3"/>
    </row>
    <row r="2818" spans="1:28" x14ac:dyDescent="0.3">
      <c r="A2818" s="2"/>
      <c r="F2818" s="3"/>
      <c r="G2818" s="3"/>
      <c r="N2818" s="3"/>
      <c r="Q2818" s="3"/>
      <c r="R2818" s="3"/>
      <c r="S2818" s="3"/>
      <c r="V2818" s="3"/>
      <c r="W2818" s="3"/>
      <c r="X2818" s="3"/>
      <c r="Y2818" s="3"/>
      <c r="Z2818" s="3"/>
      <c r="AA2818" s="3"/>
      <c r="AB2818" s="3"/>
    </row>
    <row r="2819" spans="1:28" x14ac:dyDescent="0.3">
      <c r="A2819" s="2"/>
      <c r="F2819" s="3"/>
      <c r="G2819" s="3"/>
      <c r="N2819" s="3"/>
      <c r="Q2819" s="3"/>
      <c r="R2819" s="3"/>
      <c r="S2819" s="3"/>
      <c r="V2819" s="3"/>
      <c r="W2819" s="3"/>
      <c r="X2819" s="3"/>
      <c r="Y2819" s="3"/>
      <c r="Z2819" s="3"/>
      <c r="AA2819" s="3"/>
      <c r="AB2819" s="3"/>
    </row>
    <row r="2820" spans="1:28" x14ac:dyDescent="0.3">
      <c r="A2820" s="2"/>
      <c r="F2820" s="3"/>
      <c r="G2820" s="3"/>
      <c r="N2820" s="3"/>
      <c r="Q2820" s="3"/>
      <c r="R2820" s="3"/>
      <c r="S2820" s="3"/>
      <c r="V2820" s="3"/>
      <c r="W2820" s="3"/>
      <c r="X2820" s="3"/>
      <c r="Y2820" s="3"/>
      <c r="Z2820" s="3"/>
      <c r="AA2820" s="3"/>
      <c r="AB2820" s="3"/>
    </row>
    <row r="2821" spans="1:28" x14ac:dyDescent="0.3">
      <c r="A2821" s="2"/>
      <c r="F2821" s="3"/>
      <c r="G2821" s="3"/>
      <c r="N2821" s="3"/>
      <c r="Q2821" s="3"/>
      <c r="R2821" s="3"/>
      <c r="S2821" s="3"/>
      <c r="V2821" s="3"/>
      <c r="W2821" s="3"/>
      <c r="X2821" s="3"/>
      <c r="Y2821" s="3"/>
      <c r="Z2821" s="3"/>
      <c r="AA2821" s="3"/>
      <c r="AB2821" s="3"/>
    </row>
    <row r="2822" spans="1:28" x14ac:dyDescent="0.3">
      <c r="A2822" s="2"/>
      <c r="F2822" s="3"/>
      <c r="G2822" s="3"/>
      <c r="N2822" s="3"/>
      <c r="Q2822" s="3"/>
      <c r="R2822" s="3"/>
      <c r="S2822" s="3"/>
      <c r="V2822" s="3"/>
      <c r="W2822" s="3"/>
      <c r="X2822" s="3"/>
      <c r="Y2822" s="3"/>
      <c r="Z2822" s="3"/>
      <c r="AA2822" s="3"/>
      <c r="AB2822" s="3"/>
    </row>
    <row r="2823" spans="1:28" x14ac:dyDescent="0.3">
      <c r="A2823" s="2"/>
      <c r="F2823" s="3"/>
      <c r="G2823" s="3"/>
      <c r="N2823" s="3"/>
      <c r="Q2823" s="3"/>
      <c r="R2823" s="3"/>
      <c r="S2823" s="3"/>
      <c r="V2823" s="3"/>
      <c r="W2823" s="3"/>
      <c r="X2823" s="3"/>
      <c r="Y2823" s="3"/>
      <c r="Z2823" s="3"/>
      <c r="AA2823" s="3"/>
      <c r="AB2823" s="3"/>
    </row>
    <row r="2824" spans="1:28" x14ac:dyDescent="0.3">
      <c r="A2824" s="2"/>
      <c r="F2824" s="3"/>
      <c r="G2824" s="3"/>
      <c r="N2824" s="3"/>
      <c r="Q2824" s="3"/>
      <c r="R2824" s="3"/>
      <c r="S2824" s="3"/>
      <c r="V2824" s="3"/>
      <c r="W2824" s="3"/>
      <c r="X2824" s="3"/>
      <c r="Y2824" s="3"/>
      <c r="Z2824" s="3"/>
      <c r="AA2824" s="3"/>
      <c r="AB2824" s="3"/>
    </row>
    <row r="2825" spans="1:28" x14ac:dyDescent="0.3">
      <c r="A2825" s="2"/>
      <c r="F2825" s="3"/>
      <c r="G2825" s="3"/>
      <c r="N2825" s="3"/>
      <c r="Q2825" s="3"/>
      <c r="R2825" s="3"/>
      <c r="S2825" s="3"/>
      <c r="V2825" s="3"/>
      <c r="W2825" s="3"/>
      <c r="X2825" s="3"/>
      <c r="Y2825" s="3"/>
      <c r="Z2825" s="3"/>
      <c r="AA2825" s="3"/>
      <c r="AB2825" s="3"/>
    </row>
    <row r="2826" spans="1:28" x14ac:dyDescent="0.3">
      <c r="A2826" s="2"/>
      <c r="F2826" s="3"/>
      <c r="G2826" s="3"/>
      <c r="N2826" s="3"/>
      <c r="Q2826" s="3"/>
      <c r="R2826" s="3"/>
      <c r="S2826" s="3"/>
      <c r="V2826" s="3"/>
      <c r="W2826" s="3"/>
      <c r="X2826" s="3"/>
      <c r="Y2826" s="3"/>
      <c r="Z2826" s="3"/>
      <c r="AA2826" s="3"/>
      <c r="AB2826" s="3"/>
    </row>
    <row r="2827" spans="1:28" x14ac:dyDescent="0.3">
      <c r="A2827" s="2"/>
      <c r="F2827" s="3"/>
      <c r="G2827" s="3"/>
      <c r="N2827" s="3"/>
      <c r="Q2827" s="3"/>
      <c r="R2827" s="3"/>
      <c r="S2827" s="3"/>
      <c r="V2827" s="3"/>
      <c r="W2827" s="3"/>
      <c r="X2827" s="3"/>
      <c r="Y2827" s="3"/>
      <c r="Z2827" s="3"/>
      <c r="AA2827" s="3"/>
      <c r="AB2827" s="3"/>
    </row>
    <row r="2828" spans="1:28" x14ac:dyDescent="0.3">
      <c r="A2828" s="2"/>
      <c r="F2828" s="3"/>
      <c r="G2828" s="3"/>
      <c r="N2828" s="3"/>
      <c r="Q2828" s="3"/>
      <c r="R2828" s="3"/>
      <c r="S2828" s="3"/>
      <c r="V2828" s="3"/>
      <c r="W2828" s="3"/>
      <c r="X2828" s="3"/>
      <c r="Y2828" s="3"/>
      <c r="Z2828" s="3"/>
      <c r="AA2828" s="3"/>
      <c r="AB2828" s="3"/>
    </row>
    <row r="2829" spans="1:28" x14ac:dyDescent="0.3">
      <c r="A2829" s="2"/>
      <c r="F2829" s="3"/>
      <c r="G2829" s="3"/>
      <c r="N2829" s="3"/>
      <c r="Q2829" s="3"/>
      <c r="R2829" s="3"/>
      <c r="S2829" s="3"/>
      <c r="V2829" s="3"/>
      <c r="W2829" s="3"/>
      <c r="X2829" s="3"/>
      <c r="Y2829" s="3"/>
      <c r="Z2829" s="3"/>
      <c r="AA2829" s="3"/>
      <c r="AB2829" s="3"/>
    </row>
    <row r="2830" spans="1:28" x14ac:dyDescent="0.3">
      <c r="A2830" s="2"/>
      <c r="F2830" s="3"/>
      <c r="G2830" s="3"/>
      <c r="N2830" s="3"/>
      <c r="Q2830" s="3"/>
      <c r="R2830" s="3"/>
      <c r="S2830" s="3"/>
      <c r="V2830" s="3"/>
      <c r="W2830" s="3"/>
      <c r="X2830" s="3"/>
      <c r="Y2830" s="3"/>
      <c r="Z2830" s="3"/>
      <c r="AA2830" s="3"/>
      <c r="AB2830" s="3"/>
    </row>
    <row r="2831" spans="1:28" x14ac:dyDescent="0.3">
      <c r="A2831" s="2"/>
      <c r="F2831" s="3"/>
      <c r="G2831" s="3"/>
      <c r="N2831" s="3"/>
      <c r="Q2831" s="3"/>
      <c r="R2831" s="3"/>
      <c r="S2831" s="3"/>
      <c r="V2831" s="3"/>
      <c r="W2831" s="3"/>
      <c r="X2831" s="3"/>
      <c r="Y2831" s="3"/>
      <c r="Z2831" s="3"/>
      <c r="AA2831" s="3"/>
      <c r="AB2831" s="3"/>
    </row>
    <row r="2832" spans="1:28" x14ac:dyDescent="0.3">
      <c r="A2832" s="2"/>
      <c r="F2832" s="3"/>
      <c r="G2832" s="3"/>
      <c r="N2832" s="3"/>
      <c r="Q2832" s="3"/>
      <c r="R2832" s="3"/>
      <c r="S2832" s="3"/>
      <c r="V2832" s="3"/>
      <c r="W2832" s="3"/>
      <c r="X2832" s="3"/>
      <c r="Y2832" s="3"/>
      <c r="Z2832" s="3"/>
      <c r="AA2832" s="3"/>
      <c r="AB2832" s="3"/>
    </row>
    <row r="2833" spans="1:28" x14ac:dyDescent="0.3">
      <c r="A2833" s="2"/>
      <c r="F2833" s="3"/>
      <c r="G2833" s="3"/>
      <c r="N2833" s="3"/>
      <c r="Q2833" s="3"/>
      <c r="R2833" s="3"/>
      <c r="S2833" s="3"/>
      <c r="V2833" s="3"/>
      <c r="W2833" s="3"/>
      <c r="X2833" s="3"/>
      <c r="Y2833" s="3"/>
      <c r="Z2833" s="3"/>
      <c r="AA2833" s="3"/>
      <c r="AB2833" s="3"/>
    </row>
    <row r="2834" spans="1:28" x14ac:dyDescent="0.3">
      <c r="A2834" s="2"/>
      <c r="F2834" s="3"/>
      <c r="G2834" s="3"/>
      <c r="N2834" s="3"/>
      <c r="Q2834" s="3"/>
      <c r="R2834" s="3"/>
      <c r="S2834" s="3"/>
      <c r="V2834" s="3"/>
      <c r="W2834" s="3"/>
      <c r="X2834" s="3"/>
      <c r="Y2834" s="3"/>
      <c r="Z2834" s="3"/>
      <c r="AA2834" s="3"/>
      <c r="AB2834" s="3"/>
    </row>
    <row r="2835" spans="1:28" x14ac:dyDescent="0.3">
      <c r="A2835" s="2"/>
      <c r="F2835" s="3"/>
      <c r="G2835" s="3"/>
      <c r="N2835" s="3"/>
      <c r="Q2835" s="3"/>
      <c r="R2835" s="3"/>
      <c r="S2835" s="3"/>
      <c r="V2835" s="3"/>
      <c r="W2835" s="3"/>
      <c r="X2835" s="3"/>
      <c r="Y2835" s="3"/>
      <c r="Z2835" s="3"/>
      <c r="AA2835" s="3"/>
      <c r="AB2835" s="3"/>
    </row>
    <row r="2836" spans="1:28" x14ac:dyDescent="0.3">
      <c r="A2836" s="2"/>
      <c r="F2836" s="3"/>
      <c r="G2836" s="3"/>
      <c r="N2836" s="3"/>
      <c r="Q2836" s="3"/>
      <c r="R2836" s="3"/>
      <c r="S2836" s="3"/>
      <c r="V2836" s="3"/>
      <c r="W2836" s="3"/>
      <c r="X2836" s="3"/>
      <c r="Y2836" s="3"/>
      <c r="Z2836" s="3"/>
      <c r="AA2836" s="3"/>
      <c r="AB2836" s="3"/>
    </row>
    <row r="2837" spans="1:28" x14ac:dyDescent="0.3">
      <c r="A2837" s="2"/>
      <c r="F2837" s="3"/>
      <c r="G2837" s="3"/>
      <c r="N2837" s="3"/>
      <c r="Q2837" s="3"/>
      <c r="R2837" s="3"/>
      <c r="S2837" s="3"/>
      <c r="V2837" s="3"/>
      <c r="W2837" s="3"/>
      <c r="X2837" s="3"/>
      <c r="Y2837" s="3"/>
      <c r="Z2837" s="3"/>
      <c r="AA2837" s="3"/>
      <c r="AB2837" s="3"/>
    </row>
    <row r="2838" spans="1:28" x14ac:dyDescent="0.3">
      <c r="A2838" s="2"/>
      <c r="F2838" s="3"/>
      <c r="G2838" s="3"/>
      <c r="N2838" s="3"/>
      <c r="Q2838" s="3"/>
      <c r="R2838" s="3"/>
      <c r="S2838" s="3"/>
      <c r="V2838" s="3"/>
      <c r="W2838" s="3"/>
      <c r="X2838" s="3"/>
      <c r="Y2838" s="3"/>
      <c r="Z2838" s="3"/>
      <c r="AA2838" s="3"/>
      <c r="AB2838" s="3"/>
    </row>
    <row r="2839" spans="1:28" x14ac:dyDescent="0.3">
      <c r="A2839" s="2"/>
      <c r="F2839" s="3"/>
      <c r="G2839" s="3"/>
      <c r="N2839" s="3"/>
      <c r="Q2839" s="3"/>
      <c r="R2839" s="3"/>
      <c r="S2839" s="3"/>
      <c r="V2839" s="3"/>
      <c r="W2839" s="3"/>
      <c r="X2839" s="3"/>
      <c r="Y2839" s="3"/>
      <c r="Z2839" s="3"/>
      <c r="AA2839" s="3"/>
      <c r="AB2839" s="3"/>
    </row>
    <row r="2840" spans="1:28" x14ac:dyDescent="0.3">
      <c r="A2840" s="2"/>
      <c r="F2840" s="3"/>
      <c r="G2840" s="3"/>
      <c r="N2840" s="3"/>
      <c r="Q2840" s="3"/>
      <c r="R2840" s="3"/>
      <c r="S2840" s="3"/>
      <c r="V2840" s="3"/>
      <c r="W2840" s="3"/>
      <c r="X2840" s="3"/>
      <c r="Y2840" s="3"/>
      <c r="Z2840" s="3"/>
      <c r="AA2840" s="3"/>
      <c r="AB2840" s="3"/>
    </row>
    <row r="2841" spans="1:28" x14ac:dyDescent="0.3">
      <c r="A2841" s="2"/>
      <c r="F2841" s="3"/>
      <c r="G2841" s="3"/>
      <c r="N2841" s="3"/>
      <c r="Q2841" s="3"/>
      <c r="R2841" s="3"/>
      <c r="S2841" s="3"/>
      <c r="V2841" s="3"/>
      <c r="W2841" s="3"/>
      <c r="X2841" s="3"/>
      <c r="Y2841" s="3"/>
      <c r="Z2841" s="3"/>
      <c r="AA2841" s="3"/>
      <c r="AB2841" s="3"/>
    </row>
    <row r="2842" spans="1:28" x14ac:dyDescent="0.3">
      <c r="A2842" s="2"/>
      <c r="F2842" s="3"/>
      <c r="G2842" s="3"/>
      <c r="N2842" s="3"/>
      <c r="Q2842" s="3"/>
      <c r="R2842" s="3"/>
      <c r="S2842" s="3"/>
      <c r="V2842" s="3"/>
      <c r="W2842" s="3"/>
      <c r="X2842" s="3"/>
      <c r="Y2842" s="3"/>
      <c r="Z2842" s="3"/>
      <c r="AA2842" s="3"/>
      <c r="AB2842" s="3"/>
    </row>
    <row r="2843" spans="1:28" x14ac:dyDescent="0.3">
      <c r="A2843" s="2"/>
      <c r="F2843" s="3"/>
      <c r="G2843" s="3"/>
      <c r="N2843" s="3"/>
      <c r="Q2843" s="3"/>
      <c r="R2843" s="3"/>
      <c r="S2843" s="3"/>
      <c r="V2843" s="3"/>
      <c r="W2843" s="3"/>
      <c r="X2843" s="3"/>
      <c r="Y2843" s="3"/>
      <c r="Z2843" s="3"/>
      <c r="AA2843" s="3"/>
      <c r="AB2843" s="3"/>
    </row>
    <row r="2844" spans="1:28" x14ac:dyDescent="0.3">
      <c r="A2844" s="2"/>
      <c r="F2844" s="3"/>
      <c r="G2844" s="3"/>
      <c r="N2844" s="3"/>
      <c r="Q2844" s="3"/>
      <c r="R2844" s="3"/>
      <c r="S2844" s="3"/>
      <c r="V2844" s="3"/>
      <c r="W2844" s="3"/>
      <c r="X2844" s="3"/>
      <c r="Y2844" s="3"/>
      <c r="Z2844" s="3"/>
      <c r="AA2844" s="3"/>
      <c r="AB2844" s="3"/>
    </row>
    <row r="2845" spans="1:28" x14ac:dyDescent="0.3">
      <c r="A2845" s="2"/>
      <c r="F2845" s="3"/>
      <c r="G2845" s="3"/>
      <c r="N2845" s="3"/>
      <c r="Q2845" s="3"/>
      <c r="R2845" s="3"/>
      <c r="S2845" s="3"/>
      <c r="V2845" s="3"/>
      <c r="W2845" s="3"/>
      <c r="X2845" s="3"/>
      <c r="Y2845" s="3"/>
      <c r="Z2845" s="3"/>
      <c r="AA2845" s="3"/>
      <c r="AB2845" s="3"/>
    </row>
    <row r="2846" spans="1:28" x14ac:dyDescent="0.3">
      <c r="A2846" s="2"/>
      <c r="F2846" s="3"/>
      <c r="G2846" s="3"/>
      <c r="N2846" s="3"/>
      <c r="Q2846" s="3"/>
      <c r="R2846" s="3"/>
      <c r="S2846" s="3"/>
      <c r="V2846" s="3"/>
      <c r="W2846" s="3"/>
      <c r="X2846" s="3"/>
      <c r="Y2846" s="3"/>
      <c r="Z2846" s="3"/>
      <c r="AA2846" s="3"/>
      <c r="AB2846" s="3"/>
    </row>
    <row r="2847" spans="1:28" x14ac:dyDescent="0.3">
      <c r="A2847" s="2"/>
      <c r="F2847" s="3"/>
      <c r="G2847" s="3"/>
      <c r="N2847" s="3"/>
      <c r="Q2847" s="3"/>
      <c r="R2847" s="3"/>
      <c r="S2847" s="3"/>
      <c r="V2847" s="3"/>
      <c r="W2847" s="3"/>
      <c r="X2847" s="3"/>
      <c r="Y2847" s="3"/>
      <c r="Z2847" s="3"/>
      <c r="AA2847" s="3"/>
      <c r="AB2847" s="3"/>
    </row>
    <row r="2848" spans="1:28" x14ac:dyDescent="0.3">
      <c r="A2848" s="2"/>
      <c r="F2848" s="3"/>
      <c r="G2848" s="3"/>
      <c r="N2848" s="3"/>
      <c r="Q2848" s="3"/>
      <c r="R2848" s="3"/>
      <c r="S2848" s="3"/>
      <c r="V2848" s="3"/>
      <c r="W2848" s="3"/>
      <c r="X2848" s="3"/>
      <c r="Y2848" s="3"/>
      <c r="Z2848" s="3"/>
      <c r="AA2848" s="3"/>
      <c r="AB2848" s="3"/>
    </row>
    <row r="2849" spans="1:28" x14ac:dyDescent="0.3">
      <c r="A2849" s="2"/>
      <c r="F2849" s="3"/>
      <c r="G2849" s="3"/>
      <c r="N2849" s="3"/>
      <c r="Q2849" s="3"/>
      <c r="R2849" s="3"/>
      <c r="S2849" s="3"/>
      <c r="V2849" s="3"/>
      <c r="W2849" s="3"/>
      <c r="X2849" s="3"/>
      <c r="Y2849" s="3"/>
      <c r="Z2849" s="3"/>
      <c r="AA2849" s="3"/>
      <c r="AB2849" s="3"/>
    </row>
    <row r="2850" spans="1:28" x14ac:dyDescent="0.3">
      <c r="A2850" s="2"/>
      <c r="F2850" s="3"/>
      <c r="G2850" s="3"/>
      <c r="N2850" s="3"/>
      <c r="Q2850" s="3"/>
      <c r="R2850" s="3"/>
      <c r="S2850" s="3"/>
      <c r="V2850" s="3"/>
      <c r="W2850" s="3"/>
      <c r="X2850" s="3"/>
      <c r="Y2850" s="3"/>
      <c r="Z2850" s="3"/>
      <c r="AA2850" s="3"/>
      <c r="AB2850" s="3"/>
    </row>
    <row r="2851" spans="1:28" x14ac:dyDescent="0.3">
      <c r="A2851" s="2"/>
      <c r="F2851" s="3"/>
      <c r="G2851" s="3"/>
      <c r="N2851" s="3"/>
      <c r="Q2851" s="3"/>
      <c r="R2851" s="3"/>
      <c r="S2851" s="3"/>
      <c r="V2851" s="3"/>
      <c r="W2851" s="3"/>
      <c r="X2851" s="3"/>
      <c r="Y2851" s="3"/>
      <c r="Z2851" s="3"/>
      <c r="AA2851" s="3"/>
      <c r="AB2851" s="3"/>
    </row>
    <row r="2852" spans="1:28" x14ac:dyDescent="0.3">
      <c r="A2852" s="2"/>
      <c r="F2852" s="3"/>
      <c r="G2852" s="3"/>
      <c r="N2852" s="3"/>
      <c r="Q2852" s="3"/>
      <c r="R2852" s="3"/>
      <c r="S2852" s="3"/>
      <c r="V2852" s="3"/>
      <c r="W2852" s="3"/>
      <c r="X2852" s="3"/>
      <c r="Y2852" s="3"/>
      <c r="Z2852" s="3"/>
      <c r="AA2852" s="3"/>
      <c r="AB2852" s="3"/>
    </row>
    <row r="2853" spans="1:28" x14ac:dyDescent="0.3">
      <c r="A2853" s="2"/>
      <c r="F2853" s="3"/>
      <c r="G2853" s="3"/>
      <c r="N2853" s="3"/>
      <c r="Q2853" s="3"/>
      <c r="R2853" s="3"/>
      <c r="S2853" s="3"/>
      <c r="V2853" s="3"/>
      <c r="W2853" s="3"/>
      <c r="X2853" s="3"/>
      <c r="Y2853" s="3"/>
      <c r="Z2853" s="3"/>
      <c r="AA2853" s="3"/>
      <c r="AB2853" s="3"/>
    </row>
    <row r="2854" spans="1:28" x14ac:dyDescent="0.3">
      <c r="A2854" s="2"/>
      <c r="F2854" s="3"/>
      <c r="G2854" s="3"/>
      <c r="N2854" s="3"/>
      <c r="Q2854" s="3"/>
      <c r="R2854" s="3"/>
      <c r="S2854" s="3"/>
      <c r="V2854" s="3"/>
      <c r="W2854" s="3"/>
      <c r="X2854" s="3"/>
      <c r="Y2854" s="3"/>
      <c r="Z2854" s="3"/>
      <c r="AA2854" s="3"/>
      <c r="AB2854" s="3"/>
    </row>
    <row r="2855" spans="1:28" x14ac:dyDescent="0.3">
      <c r="A2855" s="2"/>
      <c r="F2855" s="3"/>
      <c r="G2855" s="3"/>
      <c r="N2855" s="3"/>
      <c r="Q2855" s="3"/>
      <c r="R2855" s="3"/>
      <c r="S2855" s="3"/>
      <c r="V2855" s="3"/>
      <c r="W2855" s="3"/>
      <c r="X2855" s="3"/>
      <c r="Y2855" s="3"/>
      <c r="Z2855" s="3"/>
      <c r="AA2855" s="3"/>
      <c r="AB2855" s="3"/>
    </row>
    <row r="2856" spans="1:28" x14ac:dyDescent="0.3">
      <c r="A2856" s="2"/>
      <c r="F2856" s="3"/>
      <c r="G2856" s="3"/>
      <c r="N2856" s="3"/>
      <c r="Q2856" s="3"/>
      <c r="R2856" s="3"/>
      <c r="S2856" s="3"/>
      <c r="V2856" s="3"/>
      <c r="W2856" s="3"/>
      <c r="X2856" s="3"/>
      <c r="Y2856" s="3"/>
      <c r="Z2856" s="3"/>
      <c r="AA2856" s="3"/>
      <c r="AB2856" s="3"/>
    </row>
    <row r="2857" spans="1:28" x14ac:dyDescent="0.3">
      <c r="A2857" s="2"/>
      <c r="F2857" s="3"/>
      <c r="G2857" s="3"/>
      <c r="N2857" s="3"/>
      <c r="Q2857" s="3"/>
      <c r="R2857" s="3"/>
      <c r="S2857" s="3"/>
      <c r="V2857" s="3"/>
      <c r="W2857" s="3"/>
      <c r="X2857" s="3"/>
      <c r="Y2857" s="3"/>
      <c r="Z2857" s="3"/>
      <c r="AA2857" s="3"/>
      <c r="AB2857" s="3"/>
    </row>
    <row r="2858" spans="1:28" x14ac:dyDescent="0.3">
      <c r="A2858" s="2"/>
      <c r="F2858" s="3"/>
      <c r="G2858" s="3"/>
      <c r="N2858" s="3"/>
      <c r="Q2858" s="3"/>
      <c r="R2858" s="3"/>
      <c r="S2858" s="3"/>
      <c r="V2858" s="3"/>
      <c r="W2858" s="3"/>
      <c r="X2858" s="3"/>
      <c r="Y2858" s="3"/>
      <c r="Z2858" s="3"/>
      <c r="AA2858" s="3"/>
      <c r="AB2858" s="3"/>
    </row>
    <row r="2859" spans="1:28" x14ac:dyDescent="0.3">
      <c r="A2859" s="2"/>
      <c r="F2859" s="3"/>
      <c r="G2859" s="3"/>
      <c r="N2859" s="3"/>
      <c r="Q2859" s="3"/>
      <c r="R2859" s="3"/>
      <c r="S2859" s="3"/>
      <c r="V2859" s="3"/>
      <c r="W2859" s="3"/>
      <c r="X2859" s="3"/>
      <c r="Y2859" s="3"/>
      <c r="Z2859" s="3"/>
      <c r="AA2859" s="3"/>
      <c r="AB2859" s="3"/>
    </row>
    <row r="2860" spans="1:28" x14ac:dyDescent="0.3">
      <c r="A2860" s="2"/>
      <c r="F2860" s="3"/>
      <c r="G2860" s="3"/>
      <c r="N2860" s="3"/>
      <c r="Q2860" s="3"/>
      <c r="R2860" s="3"/>
      <c r="S2860" s="3"/>
      <c r="V2860" s="3"/>
      <c r="W2860" s="3"/>
      <c r="X2860" s="3"/>
      <c r="Y2860" s="3"/>
      <c r="Z2860" s="3"/>
      <c r="AA2860" s="3"/>
      <c r="AB2860" s="3"/>
    </row>
    <row r="2861" spans="1:28" x14ac:dyDescent="0.3">
      <c r="A2861" s="2"/>
      <c r="F2861" s="3"/>
      <c r="G2861" s="3"/>
      <c r="N2861" s="3"/>
      <c r="Q2861" s="3"/>
      <c r="R2861" s="3"/>
      <c r="S2861" s="3"/>
      <c r="V2861" s="3"/>
      <c r="W2861" s="3"/>
      <c r="X2861" s="3"/>
      <c r="Y2861" s="3"/>
      <c r="Z2861" s="3"/>
      <c r="AA2861" s="3"/>
      <c r="AB2861" s="3"/>
    </row>
    <row r="2862" spans="1:28" x14ac:dyDescent="0.3">
      <c r="A2862" s="2"/>
      <c r="F2862" s="3"/>
      <c r="G2862" s="3"/>
      <c r="N2862" s="3"/>
      <c r="Q2862" s="3"/>
      <c r="R2862" s="3"/>
      <c r="S2862" s="3"/>
      <c r="V2862" s="3"/>
      <c r="W2862" s="3"/>
      <c r="X2862" s="3"/>
      <c r="Y2862" s="3"/>
      <c r="Z2862" s="3"/>
      <c r="AA2862" s="3"/>
      <c r="AB2862" s="3"/>
    </row>
    <row r="2863" spans="1:28" x14ac:dyDescent="0.3">
      <c r="A2863" s="2"/>
      <c r="F2863" s="3"/>
      <c r="G2863" s="3"/>
      <c r="N2863" s="3"/>
      <c r="Q2863" s="3"/>
      <c r="R2863" s="3"/>
      <c r="S2863" s="3"/>
      <c r="V2863" s="3"/>
      <c r="W2863" s="3"/>
      <c r="X2863" s="3"/>
      <c r="Y2863" s="3"/>
      <c r="Z2863" s="3"/>
      <c r="AA2863" s="3"/>
      <c r="AB2863" s="3"/>
    </row>
    <row r="2864" spans="1:28" x14ac:dyDescent="0.3">
      <c r="A2864" s="2"/>
      <c r="F2864" s="3"/>
      <c r="G2864" s="3"/>
      <c r="N2864" s="3"/>
      <c r="Q2864" s="3"/>
      <c r="R2864" s="3"/>
      <c r="S2864" s="3"/>
      <c r="V2864" s="3"/>
      <c r="W2864" s="3"/>
      <c r="X2864" s="3"/>
      <c r="Y2864" s="3"/>
      <c r="Z2864" s="3"/>
      <c r="AA2864" s="3"/>
      <c r="AB2864" s="3"/>
    </row>
    <row r="2865" spans="1:28" x14ac:dyDescent="0.3">
      <c r="A2865" s="2"/>
      <c r="F2865" s="3"/>
      <c r="G2865" s="3"/>
      <c r="N2865" s="3"/>
      <c r="Q2865" s="3"/>
      <c r="R2865" s="3"/>
      <c r="S2865" s="3"/>
      <c r="V2865" s="3"/>
      <c r="W2865" s="3"/>
      <c r="X2865" s="3"/>
      <c r="Y2865" s="3"/>
      <c r="Z2865" s="3"/>
      <c r="AA2865" s="3"/>
      <c r="AB2865" s="3"/>
    </row>
    <row r="2866" spans="1:28" x14ac:dyDescent="0.3">
      <c r="A2866" s="2"/>
      <c r="F2866" s="3"/>
      <c r="G2866" s="3"/>
      <c r="N2866" s="3"/>
      <c r="Q2866" s="3"/>
      <c r="R2866" s="3"/>
      <c r="S2866" s="3"/>
      <c r="V2866" s="3"/>
      <c r="W2866" s="3"/>
      <c r="X2866" s="3"/>
      <c r="Y2866" s="3"/>
      <c r="Z2866" s="3"/>
      <c r="AA2866" s="3"/>
      <c r="AB2866" s="3"/>
    </row>
    <row r="2867" spans="1:28" x14ac:dyDescent="0.3">
      <c r="A2867" s="2"/>
      <c r="F2867" s="3"/>
      <c r="G2867" s="3"/>
      <c r="N2867" s="3"/>
      <c r="Q2867" s="3"/>
      <c r="R2867" s="3"/>
      <c r="S2867" s="3"/>
      <c r="V2867" s="3"/>
      <c r="W2867" s="3"/>
      <c r="X2867" s="3"/>
      <c r="Y2867" s="3"/>
      <c r="Z2867" s="3"/>
      <c r="AA2867" s="3"/>
      <c r="AB2867" s="3"/>
    </row>
    <row r="2868" spans="1:28" x14ac:dyDescent="0.3">
      <c r="A2868" s="2"/>
      <c r="F2868" s="3"/>
      <c r="G2868" s="3"/>
      <c r="N2868" s="3"/>
      <c r="Q2868" s="3"/>
      <c r="R2868" s="3"/>
      <c r="S2868" s="3"/>
      <c r="V2868" s="3"/>
      <c r="W2868" s="3"/>
      <c r="X2868" s="3"/>
      <c r="Y2868" s="3"/>
      <c r="Z2868" s="3"/>
      <c r="AA2868" s="3"/>
      <c r="AB2868" s="3"/>
    </row>
    <row r="2869" spans="1:28" x14ac:dyDescent="0.3">
      <c r="A2869" s="2"/>
      <c r="F2869" s="3"/>
      <c r="G2869" s="3"/>
      <c r="N2869" s="3"/>
      <c r="Q2869" s="3"/>
      <c r="R2869" s="3"/>
      <c r="S2869" s="3"/>
      <c r="V2869" s="3"/>
      <c r="W2869" s="3"/>
      <c r="X2869" s="3"/>
      <c r="Y2869" s="3"/>
      <c r="Z2869" s="3"/>
      <c r="AA2869" s="3"/>
      <c r="AB2869" s="3"/>
    </row>
    <row r="2870" spans="1:28" x14ac:dyDescent="0.3">
      <c r="A2870" s="2"/>
      <c r="F2870" s="3"/>
      <c r="G2870" s="3"/>
      <c r="N2870" s="3"/>
      <c r="Q2870" s="3"/>
      <c r="R2870" s="3"/>
      <c r="S2870" s="3"/>
      <c r="V2870" s="3"/>
      <c r="W2870" s="3"/>
      <c r="X2870" s="3"/>
      <c r="Y2870" s="3"/>
      <c r="Z2870" s="3"/>
      <c r="AA2870" s="3"/>
      <c r="AB2870" s="3"/>
    </row>
    <row r="2871" spans="1:28" x14ac:dyDescent="0.3">
      <c r="A2871" s="2"/>
      <c r="F2871" s="3"/>
      <c r="G2871" s="3"/>
      <c r="N2871" s="3"/>
      <c r="Q2871" s="3"/>
      <c r="R2871" s="3"/>
      <c r="S2871" s="3"/>
      <c r="V2871" s="3"/>
      <c r="W2871" s="3"/>
      <c r="X2871" s="3"/>
      <c r="Y2871" s="3"/>
      <c r="Z2871" s="3"/>
      <c r="AA2871" s="3"/>
      <c r="AB2871" s="3"/>
    </row>
    <row r="2872" spans="1:28" x14ac:dyDescent="0.3">
      <c r="A2872" s="2"/>
      <c r="F2872" s="3"/>
      <c r="G2872" s="3"/>
      <c r="N2872" s="3"/>
      <c r="Q2872" s="3"/>
      <c r="R2872" s="3"/>
      <c r="S2872" s="3"/>
      <c r="V2872" s="3"/>
      <c r="W2872" s="3"/>
      <c r="X2872" s="3"/>
      <c r="Y2872" s="3"/>
      <c r="Z2872" s="3"/>
      <c r="AA2872" s="3"/>
      <c r="AB2872" s="3"/>
    </row>
    <row r="2873" spans="1:28" x14ac:dyDescent="0.3">
      <c r="A2873" s="2"/>
      <c r="F2873" s="3"/>
      <c r="G2873" s="3"/>
      <c r="N2873" s="3"/>
      <c r="Q2873" s="3"/>
      <c r="R2873" s="3"/>
      <c r="S2873" s="3"/>
      <c r="V2873" s="3"/>
      <c r="W2873" s="3"/>
      <c r="X2873" s="3"/>
      <c r="Y2873" s="3"/>
      <c r="Z2873" s="3"/>
      <c r="AA2873" s="3"/>
      <c r="AB2873" s="3"/>
    </row>
    <row r="2874" spans="1:28" x14ac:dyDescent="0.3">
      <c r="A2874" s="2"/>
      <c r="F2874" s="3"/>
      <c r="G2874" s="3"/>
      <c r="N2874" s="3"/>
      <c r="Q2874" s="3"/>
      <c r="R2874" s="3"/>
      <c r="S2874" s="3"/>
      <c r="V2874" s="3"/>
      <c r="W2874" s="3"/>
      <c r="X2874" s="3"/>
      <c r="Y2874" s="3"/>
      <c r="Z2874" s="3"/>
      <c r="AA2874" s="3"/>
      <c r="AB2874" s="3"/>
    </row>
    <row r="2875" spans="1:28" x14ac:dyDescent="0.3">
      <c r="A2875" s="2"/>
      <c r="F2875" s="3"/>
      <c r="G2875" s="3"/>
      <c r="N2875" s="3"/>
      <c r="Q2875" s="3"/>
      <c r="R2875" s="3"/>
      <c r="S2875" s="3"/>
      <c r="V2875" s="3"/>
      <c r="W2875" s="3"/>
      <c r="X2875" s="3"/>
      <c r="Y2875" s="3"/>
      <c r="Z2875" s="3"/>
      <c r="AA2875" s="3"/>
      <c r="AB2875" s="3"/>
    </row>
    <row r="2876" spans="1:28" x14ac:dyDescent="0.3">
      <c r="A2876" s="2"/>
      <c r="F2876" s="3"/>
      <c r="G2876" s="3"/>
      <c r="N2876" s="3"/>
      <c r="Q2876" s="3"/>
      <c r="R2876" s="3"/>
      <c r="S2876" s="3"/>
      <c r="V2876" s="3"/>
      <c r="W2876" s="3"/>
      <c r="X2876" s="3"/>
      <c r="Y2876" s="3"/>
      <c r="Z2876" s="3"/>
      <c r="AA2876" s="3"/>
      <c r="AB2876" s="3"/>
    </row>
    <row r="2877" spans="1:28" x14ac:dyDescent="0.3">
      <c r="A2877" s="2"/>
      <c r="F2877" s="3"/>
      <c r="G2877" s="3"/>
      <c r="N2877" s="3"/>
      <c r="Q2877" s="3"/>
      <c r="R2877" s="3"/>
      <c r="S2877" s="3"/>
      <c r="V2877" s="3"/>
      <c r="W2877" s="3"/>
      <c r="X2877" s="3"/>
      <c r="Y2877" s="3"/>
      <c r="Z2877" s="3"/>
      <c r="AA2877" s="3"/>
      <c r="AB2877" s="3"/>
    </row>
    <row r="2878" spans="1:28" x14ac:dyDescent="0.3">
      <c r="A2878" s="2"/>
      <c r="F2878" s="3"/>
      <c r="G2878" s="3"/>
      <c r="N2878" s="3"/>
      <c r="Q2878" s="3"/>
      <c r="R2878" s="3"/>
      <c r="S2878" s="3"/>
      <c r="V2878" s="3"/>
      <c r="W2878" s="3"/>
      <c r="X2878" s="3"/>
      <c r="Y2878" s="3"/>
      <c r="Z2878" s="3"/>
      <c r="AA2878" s="3"/>
      <c r="AB2878" s="3"/>
    </row>
    <row r="2879" spans="1:28" x14ac:dyDescent="0.3">
      <c r="A2879" s="2"/>
      <c r="F2879" s="3"/>
      <c r="G2879" s="3"/>
      <c r="N2879" s="3"/>
      <c r="Q2879" s="3"/>
      <c r="R2879" s="3"/>
      <c r="S2879" s="3"/>
      <c r="V2879" s="3"/>
      <c r="W2879" s="3"/>
      <c r="X2879" s="3"/>
      <c r="Y2879" s="3"/>
      <c r="Z2879" s="3"/>
      <c r="AA2879" s="3"/>
      <c r="AB2879" s="3"/>
    </row>
    <row r="2880" spans="1:28" x14ac:dyDescent="0.3">
      <c r="A2880" s="2"/>
      <c r="F2880" s="3"/>
      <c r="G2880" s="3"/>
      <c r="N2880" s="3"/>
      <c r="Q2880" s="3"/>
      <c r="R2880" s="3"/>
      <c r="S2880" s="3"/>
      <c r="V2880" s="3"/>
      <c r="W2880" s="3"/>
      <c r="X2880" s="3"/>
      <c r="Y2880" s="3"/>
      <c r="Z2880" s="3"/>
      <c r="AA2880" s="3"/>
      <c r="AB2880" s="3"/>
    </row>
    <row r="2881" spans="1:28" x14ac:dyDescent="0.3">
      <c r="A2881" s="2"/>
      <c r="F2881" s="3"/>
      <c r="G2881" s="3"/>
      <c r="N2881" s="3"/>
      <c r="Q2881" s="3"/>
      <c r="R2881" s="3"/>
      <c r="S2881" s="3"/>
      <c r="V2881" s="3"/>
      <c r="W2881" s="3"/>
      <c r="X2881" s="3"/>
      <c r="Y2881" s="3"/>
      <c r="Z2881" s="3"/>
      <c r="AA2881" s="3"/>
      <c r="AB2881" s="3"/>
    </row>
    <row r="2882" spans="1:28" x14ac:dyDescent="0.3">
      <c r="A2882" s="2"/>
      <c r="F2882" s="3"/>
      <c r="G2882" s="3"/>
      <c r="N2882" s="3"/>
      <c r="Q2882" s="3"/>
      <c r="R2882" s="3"/>
      <c r="S2882" s="3"/>
      <c r="V2882" s="3"/>
      <c r="W2882" s="3"/>
      <c r="X2882" s="3"/>
      <c r="Y2882" s="3"/>
      <c r="Z2882" s="3"/>
      <c r="AA2882" s="3"/>
      <c r="AB2882" s="3"/>
    </row>
    <row r="2883" spans="1:28" x14ac:dyDescent="0.3">
      <c r="A2883" s="2"/>
      <c r="F2883" s="3"/>
      <c r="G2883" s="3"/>
      <c r="N2883" s="3"/>
      <c r="Q2883" s="3"/>
      <c r="R2883" s="3"/>
      <c r="S2883" s="3"/>
      <c r="V2883" s="3"/>
      <c r="W2883" s="3"/>
      <c r="X2883" s="3"/>
      <c r="Y2883" s="3"/>
      <c r="Z2883" s="3"/>
      <c r="AA2883" s="3"/>
      <c r="AB2883" s="3"/>
    </row>
    <row r="2884" spans="1:28" x14ac:dyDescent="0.3">
      <c r="A2884" s="2"/>
      <c r="F2884" s="3"/>
      <c r="G2884" s="3"/>
      <c r="N2884" s="3"/>
      <c r="Q2884" s="3"/>
      <c r="R2884" s="3"/>
      <c r="S2884" s="3"/>
      <c r="V2884" s="3"/>
      <c r="W2884" s="3"/>
      <c r="X2884" s="3"/>
      <c r="Y2884" s="3"/>
      <c r="Z2884" s="3"/>
      <c r="AA2884" s="3"/>
      <c r="AB2884" s="3"/>
    </row>
    <row r="2885" spans="1:28" x14ac:dyDescent="0.3">
      <c r="A2885" s="2"/>
      <c r="F2885" s="3"/>
      <c r="G2885" s="3"/>
      <c r="N2885" s="3"/>
      <c r="Q2885" s="3"/>
      <c r="R2885" s="3"/>
      <c r="S2885" s="3"/>
      <c r="V2885" s="3"/>
      <c r="W2885" s="3"/>
      <c r="X2885" s="3"/>
      <c r="Y2885" s="3"/>
      <c r="Z2885" s="3"/>
      <c r="AA2885" s="3"/>
      <c r="AB2885" s="3"/>
    </row>
    <row r="2886" spans="1:28" x14ac:dyDescent="0.3">
      <c r="A2886" s="2"/>
      <c r="F2886" s="3"/>
      <c r="G2886" s="3"/>
      <c r="N2886" s="3"/>
      <c r="Q2886" s="3"/>
      <c r="R2886" s="3"/>
      <c r="S2886" s="3"/>
      <c r="V2886" s="3"/>
      <c r="W2886" s="3"/>
      <c r="X2886" s="3"/>
      <c r="Y2886" s="3"/>
      <c r="Z2886" s="3"/>
      <c r="AA2886" s="3"/>
      <c r="AB2886" s="3"/>
    </row>
    <row r="2887" spans="1:28" x14ac:dyDescent="0.3">
      <c r="A2887" s="2"/>
      <c r="F2887" s="3"/>
      <c r="G2887" s="3"/>
      <c r="N2887" s="3"/>
      <c r="Q2887" s="3"/>
      <c r="R2887" s="3"/>
      <c r="S2887" s="3"/>
      <c r="V2887" s="3"/>
      <c r="W2887" s="3"/>
      <c r="X2887" s="3"/>
      <c r="Y2887" s="3"/>
      <c r="Z2887" s="3"/>
      <c r="AA2887" s="3"/>
      <c r="AB2887" s="3"/>
    </row>
    <row r="2888" spans="1:28" x14ac:dyDescent="0.3">
      <c r="A2888" s="2"/>
      <c r="F2888" s="3"/>
      <c r="G2888" s="3"/>
      <c r="N2888" s="3"/>
      <c r="Q2888" s="3"/>
      <c r="R2888" s="3"/>
      <c r="S2888" s="3"/>
      <c r="V2888" s="3"/>
      <c r="W2888" s="3"/>
      <c r="X2888" s="3"/>
      <c r="Y2888" s="3"/>
      <c r="Z2888" s="3"/>
      <c r="AA2888" s="3"/>
      <c r="AB2888" s="3"/>
    </row>
    <row r="2889" spans="1:28" x14ac:dyDescent="0.3">
      <c r="A2889" s="2"/>
      <c r="F2889" s="3"/>
      <c r="G2889" s="3"/>
      <c r="N2889" s="3"/>
      <c r="Q2889" s="3"/>
      <c r="R2889" s="3"/>
      <c r="S2889" s="3"/>
      <c r="V2889" s="3"/>
      <c r="W2889" s="3"/>
      <c r="X2889" s="3"/>
      <c r="Y2889" s="3"/>
      <c r="Z2889" s="3"/>
      <c r="AA2889" s="3"/>
      <c r="AB2889" s="3"/>
    </row>
    <row r="2890" spans="1:28" x14ac:dyDescent="0.3">
      <c r="A2890" s="2"/>
      <c r="F2890" s="3"/>
      <c r="G2890" s="3"/>
      <c r="N2890" s="3"/>
      <c r="Q2890" s="3"/>
      <c r="R2890" s="3"/>
      <c r="S2890" s="3"/>
      <c r="V2890" s="3"/>
      <c r="W2890" s="3"/>
      <c r="X2890" s="3"/>
      <c r="Y2890" s="3"/>
      <c r="Z2890" s="3"/>
      <c r="AA2890" s="3"/>
      <c r="AB2890" s="3"/>
    </row>
    <row r="2891" spans="1:28" x14ac:dyDescent="0.3">
      <c r="A2891" s="2"/>
      <c r="F2891" s="3"/>
      <c r="G2891" s="3"/>
      <c r="N2891" s="3"/>
      <c r="Q2891" s="3"/>
      <c r="R2891" s="3"/>
      <c r="S2891" s="3"/>
      <c r="V2891" s="3"/>
      <c r="W2891" s="3"/>
      <c r="X2891" s="3"/>
      <c r="Y2891" s="3"/>
      <c r="Z2891" s="3"/>
      <c r="AA2891" s="3"/>
      <c r="AB2891" s="3"/>
    </row>
    <row r="2892" spans="1:28" x14ac:dyDescent="0.3">
      <c r="A2892" s="2"/>
      <c r="F2892" s="3"/>
      <c r="G2892" s="3"/>
      <c r="N2892" s="3"/>
      <c r="Q2892" s="3"/>
      <c r="R2892" s="3"/>
      <c r="S2892" s="3"/>
      <c r="V2892" s="3"/>
      <c r="W2892" s="3"/>
      <c r="X2892" s="3"/>
      <c r="Y2892" s="3"/>
      <c r="Z2892" s="3"/>
      <c r="AA2892" s="3"/>
      <c r="AB2892" s="3"/>
    </row>
    <row r="2893" spans="1:28" x14ac:dyDescent="0.3">
      <c r="A2893" s="2"/>
      <c r="F2893" s="3"/>
      <c r="G2893" s="3"/>
      <c r="N2893" s="3"/>
      <c r="Q2893" s="3"/>
      <c r="R2893" s="3"/>
      <c r="S2893" s="3"/>
      <c r="V2893" s="3"/>
      <c r="W2893" s="3"/>
      <c r="X2893" s="3"/>
      <c r="Y2893" s="3"/>
      <c r="Z2893" s="3"/>
      <c r="AA2893" s="3"/>
      <c r="AB2893" s="3"/>
    </row>
    <row r="2894" spans="1:28" x14ac:dyDescent="0.3">
      <c r="A2894" s="2"/>
      <c r="F2894" s="3"/>
      <c r="G2894" s="3"/>
      <c r="N2894" s="3"/>
      <c r="Q2894" s="3"/>
      <c r="R2894" s="3"/>
      <c r="S2894" s="3"/>
      <c r="V2894" s="3"/>
      <c r="W2894" s="3"/>
      <c r="X2894" s="3"/>
      <c r="Y2894" s="3"/>
      <c r="Z2894" s="3"/>
      <c r="AA2894" s="3"/>
      <c r="AB2894" s="3"/>
    </row>
    <row r="2895" spans="1:28" x14ac:dyDescent="0.3">
      <c r="A2895" s="2"/>
      <c r="F2895" s="3"/>
      <c r="G2895" s="3"/>
      <c r="N2895" s="3"/>
      <c r="Q2895" s="3"/>
      <c r="R2895" s="3"/>
      <c r="S2895" s="3"/>
      <c r="V2895" s="3"/>
      <c r="W2895" s="3"/>
      <c r="X2895" s="3"/>
      <c r="Y2895" s="3"/>
      <c r="Z2895" s="3"/>
      <c r="AA2895" s="3"/>
      <c r="AB2895" s="3"/>
    </row>
    <row r="2896" spans="1:28" x14ac:dyDescent="0.3">
      <c r="A2896" s="2"/>
      <c r="F2896" s="3"/>
      <c r="G2896" s="3"/>
      <c r="N2896" s="3"/>
      <c r="Q2896" s="3"/>
      <c r="R2896" s="3"/>
      <c r="S2896" s="3"/>
      <c r="V2896" s="3"/>
      <c r="W2896" s="3"/>
      <c r="X2896" s="3"/>
      <c r="Y2896" s="3"/>
      <c r="Z2896" s="3"/>
      <c r="AA2896" s="3"/>
      <c r="AB2896" s="3"/>
    </row>
    <row r="2897" spans="1:28" x14ac:dyDescent="0.3">
      <c r="A2897" s="2"/>
      <c r="F2897" s="3"/>
      <c r="G2897" s="3"/>
      <c r="N2897" s="3"/>
      <c r="Q2897" s="3"/>
      <c r="R2897" s="3"/>
      <c r="S2897" s="3"/>
      <c r="V2897" s="3"/>
      <c r="W2897" s="3"/>
      <c r="X2897" s="3"/>
      <c r="Y2897" s="3"/>
      <c r="Z2897" s="3"/>
      <c r="AA2897" s="3"/>
      <c r="AB2897" s="3"/>
    </row>
    <row r="2898" spans="1:28" x14ac:dyDescent="0.3">
      <c r="A2898" s="2"/>
      <c r="F2898" s="3"/>
      <c r="G2898" s="3"/>
      <c r="N2898" s="3"/>
      <c r="Q2898" s="3"/>
      <c r="R2898" s="3"/>
      <c r="S2898" s="3"/>
      <c r="V2898" s="3"/>
      <c r="W2898" s="3"/>
      <c r="X2898" s="3"/>
      <c r="Y2898" s="3"/>
      <c r="Z2898" s="3"/>
      <c r="AA2898" s="3"/>
      <c r="AB2898" s="3"/>
    </row>
    <row r="2899" spans="1:28" x14ac:dyDescent="0.3">
      <c r="A2899" s="2"/>
      <c r="F2899" s="3"/>
      <c r="G2899" s="3"/>
      <c r="N2899" s="3"/>
      <c r="Q2899" s="3"/>
      <c r="R2899" s="3"/>
      <c r="S2899" s="3"/>
      <c r="V2899" s="3"/>
      <c r="W2899" s="3"/>
      <c r="X2899" s="3"/>
      <c r="Y2899" s="3"/>
      <c r="Z2899" s="3"/>
      <c r="AA2899" s="3"/>
      <c r="AB2899" s="3"/>
    </row>
    <row r="2900" spans="1:28" x14ac:dyDescent="0.3">
      <c r="A2900" s="2"/>
      <c r="F2900" s="3"/>
      <c r="G2900" s="3"/>
      <c r="N2900" s="3"/>
      <c r="Q2900" s="3"/>
      <c r="R2900" s="3"/>
      <c r="S2900" s="3"/>
      <c r="V2900" s="3"/>
      <c r="W2900" s="3"/>
      <c r="X2900" s="3"/>
      <c r="Y2900" s="3"/>
      <c r="Z2900" s="3"/>
      <c r="AA2900" s="3"/>
      <c r="AB2900" s="3"/>
    </row>
    <row r="2901" spans="1:28" x14ac:dyDescent="0.3">
      <c r="A2901" s="2"/>
      <c r="F2901" s="3"/>
      <c r="G2901" s="3"/>
      <c r="N2901" s="3"/>
      <c r="Q2901" s="3"/>
      <c r="R2901" s="3"/>
      <c r="S2901" s="3"/>
      <c r="V2901" s="3"/>
      <c r="W2901" s="3"/>
      <c r="X2901" s="3"/>
      <c r="Y2901" s="3"/>
      <c r="Z2901" s="3"/>
      <c r="AA2901" s="3"/>
      <c r="AB2901" s="3"/>
    </row>
    <row r="2902" spans="1:28" x14ac:dyDescent="0.3">
      <c r="A2902" s="2"/>
      <c r="F2902" s="3"/>
      <c r="G2902" s="3"/>
      <c r="N2902" s="3"/>
      <c r="Q2902" s="3"/>
      <c r="R2902" s="3"/>
      <c r="S2902" s="3"/>
      <c r="V2902" s="3"/>
      <c r="W2902" s="3"/>
      <c r="X2902" s="3"/>
      <c r="Y2902" s="3"/>
      <c r="Z2902" s="3"/>
      <c r="AA2902" s="3"/>
      <c r="AB2902" s="3"/>
    </row>
    <row r="2903" spans="1:28" x14ac:dyDescent="0.3">
      <c r="A2903" s="2"/>
      <c r="F2903" s="3"/>
      <c r="G2903" s="3"/>
      <c r="N2903" s="3"/>
      <c r="Q2903" s="3"/>
      <c r="R2903" s="3"/>
      <c r="S2903" s="3"/>
      <c r="V2903" s="3"/>
      <c r="W2903" s="3"/>
      <c r="X2903" s="3"/>
      <c r="Y2903" s="3"/>
      <c r="Z2903" s="3"/>
      <c r="AA2903" s="3"/>
      <c r="AB2903" s="3"/>
    </row>
    <row r="2904" spans="1:28" x14ac:dyDescent="0.3">
      <c r="A2904" s="2"/>
      <c r="F2904" s="3"/>
      <c r="G2904" s="3"/>
      <c r="N2904" s="3"/>
      <c r="Q2904" s="3"/>
      <c r="R2904" s="3"/>
      <c r="S2904" s="3"/>
      <c r="V2904" s="3"/>
      <c r="W2904" s="3"/>
      <c r="X2904" s="3"/>
      <c r="Y2904" s="3"/>
      <c r="Z2904" s="3"/>
      <c r="AA2904" s="3"/>
      <c r="AB2904" s="3"/>
    </row>
    <row r="2905" spans="1:28" x14ac:dyDescent="0.3">
      <c r="A2905" s="2"/>
      <c r="F2905" s="3"/>
      <c r="G2905" s="3"/>
      <c r="N2905" s="3"/>
      <c r="Q2905" s="3"/>
      <c r="R2905" s="3"/>
      <c r="S2905" s="3"/>
      <c r="V2905" s="3"/>
      <c r="W2905" s="3"/>
      <c r="X2905" s="3"/>
      <c r="Y2905" s="3"/>
      <c r="Z2905" s="3"/>
      <c r="AA2905" s="3"/>
      <c r="AB2905" s="3"/>
    </row>
    <row r="2906" spans="1:28" x14ac:dyDescent="0.3">
      <c r="A2906" s="2"/>
      <c r="F2906" s="3"/>
      <c r="G2906" s="3"/>
      <c r="N2906" s="3"/>
      <c r="Q2906" s="3"/>
      <c r="R2906" s="3"/>
      <c r="S2906" s="3"/>
      <c r="V2906" s="3"/>
      <c r="W2906" s="3"/>
      <c r="X2906" s="3"/>
      <c r="Y2906" s="3"/>
      <c r="Z2906" s="3"/>
      <c r="AA2906" s="3"/>
      <c r="AB2906" s="3"/>
    </row>
    <row r="2907" spans="1:28" x14ac:dyDescent="0.3">
      <c r="A2907" s="2"/>
      <c r="F2907" s="3"/>
      <c r="G2907" s="3"/>
      <c r="N2907" s="3"/>
      <c r="Q2907" s="3"/>
      <c r="R2907" s="3"/>
      <c r="S2907" s="3"/>
      <c r="V2907" s="3"/>
      <c r="W2907" s="3"/>
      <c r="X2907" s="3"/>
      <c r="Y2907" s="3"/>
      <c r="Z2907" s="3"/>
      <c r="AA2907" s="3"/>
      <c r="AB2907" s="3"/>
    </row>
    <row r="2908" spans="1:28" x14ac:dyDescent="0.3">
      <c r="A2908" s="2"/>
      <c r="F2908" s="3"/>
      <c r="G2908" s="3"/>
      <c r="N2908" s="3"/>
      <c r="Q2908" s="3"/>
      <c r="R2908" s="3"/>
      <c r="S2908" s="3"/>
      <c r="V2908" s="3"/>
      <c r="W2908" s="3"/>
      <c r="X2908" s="3"/>
      <c r="Y2908" s="3"/>
      <c r="Z2908" s="3"/>
      <c r="AA2908" s="3"/>
      <c r="AB2908" s="3"/>
    </row>
    <row r="2909" spans="1:28" x14ac:dyDescent="0.3">
      <c r="A2909" s="2"/>
      <c r="F2909" s="3"/>
      <c r="G2909" s="3"/>
      <c r="N2909" s="3"/>
      <c r="Q2909" s="3"/>
      <c r="R2909" s="3"/>
      <c r="S2909" s="3"/>
      <c r="V2909" s="3"/>
      <c r="W2909" s="3"/>
      <c r="X2909" s="3"/>
      <c r="Y2909" s="3"/>
      <c r="Z2909" s="3"/>
      <c r="AA2909" s="3"/>
      <c r="AB2909" s="3"/>
    </row>
    <row r="2910" spans="1:28" x14ac:dyDescent="0.3">
      <c r="A2910" s="2"/>
      <c r="F2910" s="3"/>
      <c r="G2910" s="3"/>
      <c r="N2910" s="3"/>
      <c r="Q2910" s="3"/>
      <c r="R2910" s="3"/>
      <c r="S2910" s="3"/>
      <c r="V2910" s="3"/>
      <c r="W2910" s="3"/>
      <c r="X2910" s="3"/>
      <c r="Y2910" s="3"/>
      <c r="Z2910" s="3"/>
      <c r="AA2910" s="3"/>
      <c r="AB2910" s="3"/>
    </row>
    <row r="2911" spans="1:28" x14ac:dyDescent="0.3">
      <c r="A2911" s="2"/>
      <c r="F2911" s="3"/>
      <c r="G2911" s="3"/>
      <c r="N2911" s="3"/>
      <c r="Q2911" s="3"/>
      <c r="R2911" s="3"/>
      <c r="S2911" s="3"/>
      <c r="V2911" s="3"/>
      <c r="W2911" s="3"/>
      <c r="X2911" s="3"/>
      <c r="Y2911" s="3"/>
      <c r="Z2911" s="3"/>
      <c r="AA2911" s="3"/>
      <c r="AB2911" s="3"/>
    </row>
    <row r="2912" spans="1:28" x14ac:dyDescent="0.3">
      <c r="A2912" s="2"/>
      <c r="F2912" s="3"/>
      <c r="G2912" s="3"/>
      <c r="N2912" s="3"/>
      <c r="Q2912" s="3"/>
      <c r="R2912" s="3"/>
      <c r="S2912" s="3"/>
      <c r="V2912" s="3"/>
      <c r="W2912" s="3"/>
      <c r="X2912" s="3"/>
      <c r="Y2912" s="3"/>
      <c r="Z2912" s="3"/>
      <c r="AA2912" s="3"/>
      <c r="AB2912" s="3"/>
    </row>
    <row r="2913" spans="1:28" x14ac:dyDescent="0.3">
      <c r="A2913" s="2"/>
      <c r="F2913" s="3"/>
      <c r="G2913" s="3"/>
      <c r="N2913" s="3"/>
      <c r="Q2913" s="3"/>
      <c r="R2913" s="3"/>
      <c r="S2913" s="3"/>
      <c r="V2913" s="3"/>
      <c r="W2913" s="3"/>
      <c r="X2913" s="3"/>
      <c r="Y2913" s="3"/>
      <c r="Z2913" s="3"/>
      <c r="AA2913" s="3"/>
      <c r="AB2913" s="3"/>
    </row>
    <row r="2914" spans="1:28" x14ac:dyDescent="0.3">
      <c r="A2914" s="2"/>
      <c r="F2914" s="3"/>
      <c r="G2914" s="3"/>
      <c r="N2914" s="3"/>
      <c r="Q2914" s="3"/>
      <c r="R2914" s="3"/>
      <c r="S2914" s="3"/>
      <c r="V2914" s="3"/>
      <c r="W2914" s="3"/>
      <c r="X2914" s="3"/>
      <c r="Y2914" s="3"/>
      <c r="Z2914" s="3"/>
      <c r="AA2914" s="3"/>
      <c r="AB2914" s="3"/>
    </row>
    <row r="2915" spans="1:28" x14ac:dyDescent="0.3">
      <c r="A2915" s="2"/>
      <c r="F2915" s="3"/>
      <c r="G2915" s="3"/>
      <c r="N2915" s="3"/>
      <c r="Q2915" s="3"/>
      <c r="R2915" s="3"/>
      <c r="S2915" s="3"/>
      <c r="V2915" s="3"/>
      <c r="W2915" s="3"/>
      <c r="X2915" s="3"/>
      <c r="Y2915" s="3"/>
      <c r="Z2915" s="3"/>
      <c r="AA2915" s="3"/>
      <c r="AB2915" s="3"/>
    </row>
    <row r="2916" spans="1:28" x14ac:dyDescent="0.3">
      <c r="A2916" s="2"/>
      <c r="F2916" s="3"/>
      <c r="G2916" s="3"/>
      <c r="N2916" s="3"/>
      <c r="Q2916" s="3"/>
      <c r="R2916" s="3"/>
      <c r="S2916" s="3"/>
      <c r="V2916" s="3"/>
      <c r="W2916" s="3"/>
      <c r="X2916" s="3"/>
      <c r="Y2916" s="3"/>
      <c r="Z2916" s="3"/>
      <c r="AA2916" s="3"/>
      <c r="AB2916" s="3"/>
    </row>
    <row r="2917" spans="1:28" x14ac:dyDescent="0.3">
      <c r="A2917" s="2"/>
      <c r="F2917" s="3"/>
      <c r="G2917" s="3"/>
      <c r="N2917" s="3"/>
      <c r="Q2917" s="3"/>
      <c r="R2917" s="3"/>
      <c r="S2917" s="3"/>
      <c r="V2917" s="3"/>
      <c r="W2917" s="3"/>
      <c r="X2917" s="3"/>
      <c r="Y2917" s="3"/>
      <c r="Z2917" s="3"/>
      <c r="AA2917" s="3"/>
      <c r="AB2917" s="3"/>
    </row>
    <row r="2918" spans="1:28" x14ac:dyDescent="0.3">
      <c r="A2918" s="2"/>
      <c r="F2918" s="3"/>
      <c r="G2918" s="3"/>
      <c r="N2918" s="3"/>
      <c r="Q2918" s="3"/>
      <c r="R2918" s="3"/>
      <c r="S2918" s="3"/>
      <c r="V2918" s="3"/>
      <c r="W2918" s="3"/>
      <c r="X2918" s="3"/>
      <c r="Y2918" s="3"/>
      <c r="Z2918" s="3"/>
      <c r="AA2918" s="3"/>
      <c r="AB2918" s="3"/>
    </row>
    <row r="2919" spans="1:28" x14ac:dyDescent="0.3">
      <c r="A2919" s="2"/>
      <c r="F2919" s="3"/>
      <c r="G2919" s="3"/>
      <c r="N2919" s="3"/>
      <c r="Q2919" s="3"/>
      <c r="R2919" s="3"/>
      <c r="S2919" s="3"/>
      <c r="V2919" s="3"/>
      <c r="W2919" s="3"/>
      <c r="X2919" s="3"/>
      <c r="Y2919" s="3"/>
      <c r="Z2919" s="3"/>
      <c r="AA2919" s="3"/>
      <c r="AB2919" s="3"/>
    </row>
    <row r="2920" spans="1:28" x14ac:dyDescent="0.3">
      <c r="A2920" s="2"/>
      <c r="F2920" s="3"/>
      <c r="G2920" s="3"/>
      <c r="N2920" s="3"/>
      <c r="Q2920" s="3"/>
      <c r="R2920" s="3"/>
      <c r="S2920" s="3"/>
      <c r="V2920" s="3"/>
      <c r="W2920" s="3"/>
      <c r="X2920" s="3"/>
      <c r="Y2920" s="3"/>
      <c r="Z2920" s="3"/>
      <c r="AA2920" s="3"/>
      <c r="AB2920" s="3"/>
    </row>
    <row r="2921" spans="1:28" x14ac:dyDescent="0.3">
      <c r="A2921" s="2"/>
      <c r="F2921" s="3"/>
      <c r="G2921" s="3"/>
      <c r="N2921" s="3"/>
      <c r="Q2921" s="3"/>
      <c r="R2921" s="3"/>
      <c r="S2921" s="3"/>
      <c r="V2921" s="3"/>
      <c r="W2921" s="3"/>
      <c r="X2921" s="3"/>
      <c r="Y2921" s="3"/>
      <c r="Z2921" s="3"/>
      <c r="AA2921" s="3"/>
      <c r="AB2921" s="3"/>
    </row>
    <row r="2922" spans="1:28" x14ac:dyDescent="0.3">
      <c r="A2922" s="2"/>
      <c r="F2922" s="3"/>
      <c r="G2922" s="3"/>
      <c r="N2922" s="3"/>
      <c r="Q2922" s="3"/>
      <c r="R2922" s="3"/>
      <c r="S2922" s="3"/>
      <c r="V2922" s="3"/>
      <c r="W2922" s="3"/>
      <c r="X2922" s="3"/>
      <c r="Y2922" s="3"/>
      <c r="Z2922" s="3"/>
      <c r="AA2922" s="3"/>
      <c r="AB2922" s="3"/>
    </row>
    <row r="2923" spans="1:28" x14ac:dyDescent="0.3">
      <c r="A2923" s="2"/>
      <c r="F2923" s="3"/>
      <c r="G2923" s="3"/>
      <c r="N2923" s="3"/>
      <c r="Q2923" s="3"/>
      <c r="R2923" s="3"/>
      <c r="S2923" s="3"/>
      <c r="V2923" s="3"/>
      <c r="W2923" s="3"/>
      <c r="X2923" s="3"/>
      <c r="Y2923" s="3"/>
      <c r="Z2923" s="3"/>
      <c r="AA2923" s="3"/>
      <c r="AB2923" s="3"/>
    </row>
    <row r="2924" spans="1:28" x14ac:dyDescent="0.3">
      <c r="A2924" s="2"/>
      <c r="F2924" s="3"/>
      <c r="G2924" s="3"/>
      <c r="N2924" s="3"/>
      <c r="Q2924" s="3"/>
      <c r="R2924" s="3"/>
      <c r="S2924" s="3"/>
      <c r="V2924" s="3"/>
      <c r="W2924" s="3"/>
      <c r="X2924" s="3"/>
      <c r="Y2924" s="3"/>
      <c r="Z2924" s="3"/>
      <c r="AA2924" s="3"/>
      <c r="AB2924" s="3"/>
    </row>
    <row r="2925" spans="1:28" x14ac:dyDescent="0.3">
      <c r="A2925" s="2"/>
      <c r="F2925" s="3"/>
      <c r="G2925" s="3"/>
      <c r="N2925" s="3"/>
      <c r="Q2925" s="3"/>
      <c r="R2925" s="3"/>
      <c r="S2925" s="3"/>
      <c r="V2925" s="3"/>
      <c r="W2925" s="3"/>
      <c r="X2925" s="3"/>
      <c r="Y2925" s="3"/>
      <c r="Z2925" s="3"/>
      <c r="AA2925" s="3"/>
      <c r="AB2925" s="3"/>
    </row>
    <row r="2926" spans="1:28" x14ac:dyDescent="0.3">
      <c r="A2926" s="2"/>
      <c r="F2926" s="3"/>
      <c r="G2926" s="3"/>
      <c r="N2926" s="3"/>
      <c r="Q2926" s="3"/>
      <c r="R2926" s="3"/>
      <c r="S2926" s="3"/>
      <c r="V2926" s="3"/>
      <c r="W2926" s="3"/>
      <c r="X2926" s="3"/>
      <c r="Y2926" s="3"/>
      <c r="Z2926" s="3"/>
      <c r="AA2926" s="3"/>
      <c r="AB2926" s="3"/>
    </row>
    <row r="2927" spans="1:28" x14ac:dyDescent="0.3">
      <c r="A2927" s="2"/>
      <c r="F2927" s="3"/>
      <c r="G2927" s="3"/>
      <c r="N2927" s="3"/>
      <c r="Q2927" s="3"/>
      <c r="R2927" s="3"/>
      <c r="S2927" s="3"/>
      <c r="V2927" s="3"/>
      <c r="W2927" s="3"/>
      <c r="X2927" s="3"/>
      <c r="Y2927" s="3"/>
      <c r="Z2927" s="3"/>
      <c r="AA2927" s="3"/>
      <c r="AB2927" s="3"/>
    </row>
    <row r="2928" spans="1:28" x14ac:dyDescent="0.3">
      <c r="A2928" s="2"/>
      <c r="F2928" s="3"/>
      <c r="G2928" s="3"/>
      <c r="N2928" s="3"/>
      <c r="Q2928" s="3"/>
      <c r="R2928" s="3"/>
      <c r="S2928" s="3"/>
      <c r="V2928" s="3"/>
      <c r="W2928" s="3"/>
      <c r="X2928" s="3"/>
      <c r="Y2928" s="3"/>
      <c r="Z2928" s="3"/>
      <c r="AA2928" s="3"/>
      <c r="AB2928" s="3"/>
    </row>
    <row r="2929" spans="1:28" x14ac:dyDescent="0.3">
      <c r="A2929" s="2"/>
      <c r="F2929" s="3"/>
      <c r="G2929" s="3"/>
      <c r="N2929" s="3"/>
      <c r="Q2929" s="3"/>
      <c r="R2929" s="3"/>
      <c r="S2929" s="3"/>
      <c r="V2929" s="3"/>
      <c r="W2929" s="3"/>
      <c r="X2929" s="3"/>
      <c r="Y2929" s="3"/>
      <c r="Z2929" s="3"/>
      <c r="AA2929" s="3"/>
      <c r="AB2929" s="3"/>
    </row>
    <row r="2930" spans="1:28" x14ac:dyDescent="0.3">
      <c r="A2930" s="2"/>
      <c r="F2930" s="3"/>
      <c r="G2930" s="3"/>
      <c r="N2930" s="3"/>
      <c r="Q2930" s="3"/>
      <c r="R2930" s="3"/>
      <c r="S2930" s="3"/>
      <c r="V2930" s="3"/>
      <c r="W2930" s="3"/>
      <c r="X2930" s="3"/>
      <c r="Y2930" s="3"/>
      <c r="Z2930" s="3"/>
      <c r="AA2930" s="3"/>
      <c r="AB2930" s="3"/>
    </row>
    <row r="2931" spans="1:28" x14ac:dyDescent="0.3">
      <c r="A2931" s="2"/>
      <c r="F2931" s="3"/>
      <c r="G2931" s="3"/>
      <c r="N2931" s="3"/>
      <c r="Q2931" s="3"/>
      <c r="R2931" s="3"/>
      <c r="S2931" s="3"/>
      <c r="V2931" s="3"/>
      <c r="W2931" s="3"/>
      <c r="X2931" s="3"/>
      <c r="Y2931" s="3"/>
      <c r="Z2931" s="3"/>
      <c r="AA2931" s="3"/>
      <c r="AB2931" s="3"/>
    </row>
    <row r="2932" spans="1:28" x14ac:dyDescent="0.3">
      <c r="A2932" s="2"/>
      <c r="F2932" s="3"/>
      <c r="G2932" s="3"/>
      <c r="N2932" s="3"/>
      <c r="Q2932" s="3"/>
      <c r="R2932" s="3"/>
      <c r="S2932" s="3"/>
      <c r="V2932" s="3"/>
      <c r="W2932" s="3"/>
      <c r="X2932" s="3"/>
      <c r="Y2932" s="3"/>
      <c r="Z2932" s="3"/>
      <c r="AA2932" s="3"/>
      <c r="AB2932" s="3"/>
    </row>
    <row r="2933" spans="1:28" x14ac:dyDescent="0.3">
      <c r="A2933" s="2"/>
      <c r="F2933" s="3"/>
      <c r="G2933" s="3"/>
      <c r="N2933" s="3"/>
      <c r="Q2933" s="3"/>
      <c r="R2933" s="3"/>
      <c r="S2933" s="3"/>
      <c r="V2933" s="3"/>
      <c r="W2933" s="3"/>
      <c r="X2933" s="3"/>
      <c r="Y2933" s="3"/>
      <c r="Z2933" s="3"/>
      <c r="AA2933" s="3"/>
      <c r="AB2933" s="3"/>
    </row>
    <row r="2934" spans="1:28" x14ac:dyDescent="0.3">
      <c r="A2934" s="2"/>
      <c r="F2934" s="3"/>
      <c r="G2934" s="3"/>
      <c r="N2934" s="3"/>
      <c r="Q2934" s="3"/>
      <c r="R2934" s="3"/>
      <c r="S2934" s="3"/>
      <c r="V2934" s="3"/>
      <c r="W2934" s="3"/>
      <c r="X2934" s="3"/>
      <c r="Y2934" s="3"/>
      <c r="Z2934" s="3"/>
      <c r="AA2934" s="3"/>
      <c r="AB2934" s="3"/>
    </row>
    <row r="2935" spans="1:28" x14ac:dyDescent="0.3">
      <c r="A2935" s="2"/>
      <c r="F2935" s="3"/>
      <c r="G2935" s="3"/>
      <c r="N2935" s="3"/>
      <c r="Q2935" s="3"/>
      <c r="R2935" s="3"/>
      <c r="S2935" s="3"/>
      <c r="V2935" s="3"/>
      <c r="W2935" s="3"/>
      <c r="X2935" s="3"/>
      <c r="Y2935" s="3"/>
      <c r="Z2935" s="3"/>
      <c r="AA2935" s="3"/>
      <c r="AB2935" s="3"/>
    </row>
    <row r="2936" spans="1:28" x14ac:dyDescent="0.3">
      <c r="A2936" s="2"/>
      <c r="F2936" s="3"/>
      <c r="G2936" s="3"/>
      <c r="N2936" s="3"/>
      <c r="Q2936" s="3"/>
      <c r="R2936" s="3"/>
      <c r="S2936" s="3"/>
      <c r="V2936" s="3"/>
      <c r="W2936" s="3"/>
      <c r="X2936" s="3"/>
      <c r="Y2936" s="3"/>
      <c r="Z2936" s="3"/>
      <c r="AA2936" s="3"/>
      <c r="AB2936" s="3"/>
    </row>
    <row r="2937" spans="1:28" x14ac:dyDescent="0.3">
      <c r="A2937" s="2"/>
      <c r="F2937" s="3"/>
      <c r="G2937" s="3"/>
      <c r="N2937" s="3"/>
      <c r="Q2937" s="3"/>
      <c r="R2937" s="3"/>
      <c r="S2937" s="3"/>
      <c r="V2937" s="3"/>
      <c r="W2937" s="3"/>
      <c r="X2937" s="3"/>
      <c r="Y2937" s="3"/>
      <c r="Z2937" s="3"/>
      <c r="AA2937" s="3"/>
      <c r="AB2937" s="3"/>
    </row>
    <row r="2938" spans="1:28" x14ac:dyDescent="0.3">
      <c r="A2938" s="2"/>
      <c r="F2938" s="3"/>
      <c r="G2938" s="3"/>
      <c r="N2938" s="3"/>
      <c r="Q2938" s="3"/>
      <c r="R2938" s="3"/>
      <c r="S2938" s="3"/>
      <c r="V2938" s="3"/>
      <c r="W2938" s="3"/>
      <c r="X2938" s="3"/>
      <c r="Y2938" s="3"/>
      <c r="Z2938" s="3"/>
      <c r="AA2938" s="3"/>
      <c r="AB2938" s="3"/>
    </row>
    <row r="2939" spans="1:28" x14ac:dyDescent="0.3">
      <c r="A2939" s="2"/>
      <c r="F2939" s="3"/>
      <c r="G2939" s="3"/>
      <c r="N2939" s="3"/>
      <c r="Q2939" s="3"/>
      <c r="R2939" s="3"/>
      <c r="S2939" s="3"/>
      <c r="V2939" s="3"/>
      <c r="W2939" s="3"/>
      <c r="X2939" s="3"/>
      <c r="Y2939" s="3"/>
      <c r="Z2939" s="3"/>
      <c r="AA2939" s="3"/>
      <c r="AB2939" s="3"/>
    </row>
    <row r="2940" spans="1:28" x14ac:dyDescent="0.3">
      <c r="A2940" s="2"/>
      <c r="F2940" s="3"/>
      <c r="G2940" s="3"/>
      <c r="N2940" s="3"/>
      <c r="Q2940" s="3"/>
      <c r="R2940" s="3"/>
      <c r="S2940" s="3"/>
      <c r="V2940" s="3"/>
      <c r="W2940" s="3"/>
      <c r="X2940" s="3"/>
      <c r="Y2940" s="3"/>
      <c r="Z2940" s="3"/>
      <c r="AA2940" s="3"/>
      <c r="AB2940" s="3"/>
    </row>
    <row r="2941" spans="1:28" x14ac:dyDescent="0.3">
      <c r="A2941" s="2"/>
      <c r="F2941" s="3"/>
      <c r="G2941" s="3"/>
      <c r="N2941" s="3"/>
      <c r="Q2941" s="3"/>
      <c r="R2941" s="3"/>
      <c r="S2941" s="3"/>
      <c r="V2941" s="3"/>
      <c r="W2941" s="3"/>
      <c r="X2941" s="3"/>
      <c r="Y2941" s="3"/>
      <c r="Z2941" s="3"/>
      <c r="AA2941" s="3"/>
      <c r="AB2941" s="3"/>
    </row>
    <row r="2942" spans="1:28" x14ac:dyDescent="0.3">
      <c r="A2942" s="2"/>
      <c r="F2942" s="3"/>
      <c r="G2942" s="3"/>
      <c r="N2942" s="3"/>
      <c r="Q2942" s="3"/>
      <c r="R2942" s="3"/>
      <c r="S2942" s="3"/>
      <c r="V2942" s="3"/>
      <c r="W2942" s="3"/>
      <c r="X2942" s="3"/>
      <c r="Y2942" s="3"/>
      <c r="Z2942" s="3"/>
      <c r="AA2942" s="3"/>
      <c r="AB2942" s="3"/>
    </row>
    <row r="2943" spans="1:28" x14ac:dyDescent="0.3">
      <c r="A2943" s="2"/>
      <c r="F2943" s="3"/>
      <c r="G2943" s="3"/>
      <c r="N2943" s="3"/>
      <c r="Q2943" s="3"/>
      <c r="R2943" s="3"/>
      <c r="S2943" s="3"/>
      <c r="V2943" s="3"/>
      <c r="W2943" s="3"/>
      <c r="X2943" s="3"/>
      <c r="Y2943" s="3"/>
      <c r="Z2943" s="3"/>
      <c r="AA2943" s="3"/>
      <c r="AB2943" s="3"/>
    </row>
    <row r="2944" spans="1:28" x14ac:dyDescent="0.3">
      <c r="A2944" s="2"/>
      <c r="F2944" s="3"/>
      <c r="G2944" s="3"/>
      <c r="N2944" s="3"/>
      <c r="Q2944" s="3"/>
      <c r="R2944" s="3"/>
      <c r="S2944" s="3"/>
      <c r="V2944" s="3"/>
      <c r="W2944" s="3"/>
      <c r="X2944" s="3"/>
      <c r="Y2944" s="3"/>
      <c r="Z2944" s="3"/>
      <c r="AA2944" s="3"/>
      <c r="AB2944" s="3"/>
    </row>
    <row r="2945" spans="1:28" x14ac:dyDescent="0.3">
      <c r="A2945" s="2"/>
      <c r="F2945" s="3"/>
      <c r="G2945" s="3"/>
      <c r="N2945" s="3"/>
      <c r="Q2945" s="3"/>
      <c r="R2945" s="3"/>
      <c r="S2945" s="3"/>
      <c r="V2945" s="3"/>
      <c r="W2945" s="3"/>
      <c r="X2945" s="3"/>
      <c r="Y2945" s="3"/>
      <c r="Z2945" s="3"/>
      <c r="AA2945" s="3"/>
      <c r="AB2945" s="3"/>
    </row>
    <row r="2946" spans="1:28" x14ac:dyDescent="0.3">
      <c r="A2946" s="2"/>
      <c r="F2946" s="3"/>
      <c r="G2946" s="3"/>
      <c r="N2946" s="3"/>
      <c r="Q2946" s="3"/>
      <c r="R2946" s="3"/>
      <c r="S2946" s="3"/>
      <c r="V2946" s="3"/>
      <c r="W2946" s="3"/>
      <c r="X2946" s="3"/>
      <c r="Y2946" s="3"/>
      <c r="Z2946" s="3"/>
      <c r="AA2946" s="3"/>
      <c r="AB2946" s="3"/>
    </row>
    <row r="2947" spans="1:28" x14ac:dyDescent="0.3">
      <c r="A2947" s="2"/>
      <c r="F2947" s="3"/>
      <c r="G2947" s="3"/>
      <c r="N2947" s="3"/>
      <c r="Q2947" s="3"/>
      <c r="R2947" s="3"/>
      <c r="S2947" s="3"/>
      <c r="V2947" s="3"/>
      <c r="W2947" s="3"/>
      <c r="X2947" s="3"/>
      <c r="Y2947" s="3"/>
      <c r="Z2947" s="3"/>
      <c r="AA2947" s="3"/>
      <c r="AB2947" s="3"/>
    </row>
    <row r="2948" spans="1:28" x14ac:dyDescent="0.3">
      <c r="A2948" s="2"/>
      <c r="F2948" s="3"/>
      <c r="G2948" s="3"/>
      <c r="N2948" s="3"/>
      <c r="Q2948" s="3"/>
      <c r="R2948" s="3"/>
      <c r="S2948" s="3"/>
      <c r="V2948" s="3"/>
      <c r="W2948" s="3"/>
      <c r="X2948" s="3"/>
      <c r="Y2948" s="3"/>
      <c r="Z2948" s="3"/>
      <c r="AA2948" s="3"/>
      <c r="AB2948" s="3"/>
    </row>
    <row r="2949" spans="1:28" x14ac:dyDescent="0.3">
      <c r="A2949" s="2"/>
      <c r="F2949" s="3"/>
      <c r="G2949" s="3"/>
      <c r="N2949" s="3"/>
      <c r="Q2949" s="3"/>
      <c r="R2949" s="3"/>
      <c r="S2949" s="3"/>
      <c r="V2949" s="3"/>
      <c r="W2949" s="3"/>
      <c r="X2949" s="3"/>
      <c r="Y2949" s="3"/>
      <c r="Z2949" s="3"/>
      <c r="AA2949" s="3"/>
      <c r="AB2949" s="3"/>
    </row>
    <row r="2950" spans="1:28" x14ac:dyDescent="0.3">
      <c r="A2950" s="2"/>
      <c r="F2950" s="3"/>
      <c r="G2950" s="3"/>
      <c r="N2950" s="3"/>
      <c r="Q2950" s="3"/>
      <c r="R2950" s="3"/>
      <c r="S2950" s="3"/>
      <c r="V2950" s="3"/>
      <c r="W2950" s="3"/>
      <c r="X2950" s="3"/>
      <c r="Y2950" s="3"/>
      <c r="Z2950" s="3"/>
      <c r="AA2950" s="3"/>
      <c r="AB2950" s="3"/>
    </row>
    <row r="2951" spans="1:28" x14ac:dyDescent="0.3">
      <c r="A2951" s="2"/>
      <c r="F2951" s="3"/>
      <c r="G2951" s="3"/>
      <c r="N2951" s="3"/>
      <c r="Q2951" s="3"/>
      <c r="R2951" s="3"/>
      <c r="S2951" s="3"/>
      <c r="V2951" s="3"/>
      <c r="W2951" s="3"/>
      <c r="X2951" s="3"/>
      <c r="Y2951" s="3"/>
      <c r="Z2951" s="3"/>
      <c r="AA2951" s="3"/>
      <c r="AB2951" s="3"/>
    </row>
    <row r="2952" spans="1:28" x14ac:dyDescent="0.3">
      <c r="A2952" s="2"/>
      <c r="F2952" s="3"/>
      <c r="G2952" s="3"/>
      <c r="N2952" s="3"/>
      <c r="Q2952" s="3"/>
      <c r="R2952" s="3"/>
      <c r="S2952" s="3"/>
      <c r="V2952" s="3"/>
      <c r="W2952" s="3"/>
      <c r="X2952" s="3"/>
      <c r="Y2952" s="3"/>
      <c r="Z2952" s="3"/>
      <c r="AA2952" s="3"/>
      <c r="AB2952" s="3"/>
    </row>
    <row r="2953" spans="1:28" x14ac:dyDescent="0.3">
      <c r="A2953" s="2"/>
      <c r="F2953" s="3"/>
      <c r="G2953" s="3"/>
      <c r="N2953" s="3"/>
      <c r="Q2953" s="3"/>
      <c r="R2953" s="3"/>
      <c r="S2953" s="3"/>
      <c r="V2953" s="3"/>
      <c r="W2953" s="3"/>
      <c r="X2953" s="3"/>
      <c r="Y2953" s="3"/>
      <c r="Z2953" s="3"/>
      <c r="AA2953" s="3"/>
      <c r="AB2953" s="3"/>
    </row>
    <row r="2954" spans="1:28" x14ac:dyDescent="0.3">
      <c r="A2954" s="2"/>
      <c r="F2954" s="3"/>
      <c r="G2954" s="3"/>
      <c r="N2954" s="3"/>
      <c r="Q2954" s="3"/>
      <c r="R2954" s="3"/>
      <c r="S2954" s="3"/>
      <c r="V2954" s="3"/>
      <c r="W2954" s="3"/>
      <c r="X2954" s="3"/>
      <c r="Y2954" s="3"/>
      <c r="Z2954" s="3"/>
      <c r="AA2954" s="3"/>
      <c r="AB2954" s="3"/>
    </row>
    <row r="2955" spans="1:28" x14ac:dyDescent="0.3">
      <c r="A2955" s="2"/>
      <c r="F2955" s="3"/>
      <c r="G2955" s="3"/>
      <c r="N2955" s="3"/>
      <c r="Q2955" s="3"/>
      <c r="R2955" s="3"/>
      <c r="S2955" s="3"/>
      <c r="V2955" s="3"/>
      <c r="W2955" s="3"/>
      <c r="X2955" s="3"/>
      <c r="Y2955" s="3"/>
      <c r="Z2955" s="3"/>
      <c r="AA2955" s="3"/>
      <c r="AB2955" s="3"/>
    </row>
    <row r="2956" spans="1:28" x14ac:dyDescent="0.3">
      <c r="A2956" s="2"/>
      <c r="F2956" s="3"/>
      <c r="G2956" s="3"/>
      <c r="N2956" s="3"/>
      <c r="Q2956" s="3"/>
      <c r="R2956" s="3"/>
      <c r="S2956" s="3"/>
      <c r="V2956" s="3"/>
      <c r="W2956" s="3"/>
      <c r="X2956" s="3"/>
      <c r="Y2956" s="3"/>
      <c r="Z2956" s="3"/>
      <c r="AA2956" s="3"/>
      <c r="AB2956" s="3"/>
    </row>
    <row r="2957" spans="1:28" x14ac:dyDescent="0.3">
      <c r="A2957" s="2"/>
      <c r="F2957" s="3"/>
      <c r="G2957" s="3"/>
      <c r="N2957" s="3"/>
      <c r="Q2957" s="3"/>
      <c r="R2957" s="3"/>
      <c r="S2957" s="3"/>
      <c r="V2957" s="3"/>
      <c r="W2957" s="3"/>
      <c r="X2957" s="3"/>
      <c r="Y2957" s="3"/>
      <c r="Z2957" s="3"/>
      <c r="AA2957" s="3"/>
      <c r="AB2957" s="3"/>
    </row>
    <row r="2958" spans="1:28" x14ac:dyDescent="0.3">
      <c r="A2958" s="2"/>
      <c r="F2958" s="3"/>
      <c r="G2958" s="3"/>
      <c r="N2958" s="3"/>
      <c r="Q2958" s="3"/>
      <c r="R2958" s="3"/>
      <c r="S2958" s="3"/>
      <c r="V2958" s="3"/>
      <c r="W2958" s="3"/>
      <c r="X2958" s="3"/>
      <c r="Y2958" s="3"/>
      <c r="Z2958" s="3"/>
      <c r="AA2958" s="3"/>
      <c r="AB2958" s="3"/>
    </row>
    <row r="2959" spans="1:28" x14ac:dyDescent="0.3">
      <c r="A2959" s="2"/>
      <c r="F2959" s="3"/>
      <c r="G2959" s="3"/>
      <c r="N2959" s="3"/>
      <c r="Q2959" s="3"/>
      <c r="R2959" s="3"/>
      <c r="S2959" s="3"/>
      <c r="V2959" s="3"/>
      <c r="W2959" s="3"/>
      <c r="X2959" s="3"/>
      <c r="Y2959" s="3"/>
      <c r="Z2959" s="3"/>
      <c r="AA2959" s="3"/>
      <c r="AB2959" s="3"/>
    </row>
    <row r="2960" spans="1:28" x14ac:dyDescent="0.3">
      <c r="A2960" s="2"/>
      <c r="F2960" s="3"/>
      <c r="G2960" s="3"/>
      <c r="N2960" s="3"/>
      <c r="Q2960" s="3"/>
      <c r="R2960" s="3"/>
      <c r="S2960" s="3"/>
      <c r="V2960" s="3"/>
      <c r="W2960" s="3"/>
      <c r="X2960" s="3"/>
      <c r="Y2960" s="3"/>
      <c r="Z2960" s="3"/>
      <c r="AA2960" s="3"/>
      <c r="AB2960" s="3"/>
    </row>
    <row r="2961" spans="1:28" x14ac:dyDescent="0.3">
      <c r="A2961" s="2"/>
      <c r="F2961" s="3"/>
      <c r="G2961" s="3"/>
      <c r="N2961" s="3"/>
      <c r="Q2961" s="3"/>
      <c r="R2961" s="3"/>
      <c r="S2961" s="3"/>
      <c r="V2961" s="3"/>
      <c r="W2961" s="3"/>
      <c r="X2961" s="3"/>
      <c r="Y2961" s="3"/>
      <c r="Z2961" s="3"/>
      <c r="AA2961" s="3"/>
      <c r="AB2961" s="3"/>
    </row>
    <row r="2962" spans="1:28" x14ac:dyDescent="0.3">
      <c r="A2962" s="2"/>
      <c r="F2962" s="3"/>
      <c r="G2962" s="3"/>
      <c r="N2962" s="3"/>
      <c r="Q2962" s="3"/>
      <c r="R2962" s="3"/>
      <c r="S2962" s="3"/>
      <c r="V2962" s="3"/>
      <c r="W2962" s="3"/>
      <c r="X2962" s="3"/>
      <c r="Y2962" s="3"/>
      <c r="Z2962" s="3"/>
      <c r="AA2962" s="3"/>
      <c r="AB2962" s="3"/>
    </row>
    <row r="2963" spans="1:28" x14ac:dyDescent="0.3">
      <c r="A2963" s="2"/>
      <c r="F2963" s="3"/>
      <c r="G2963" s="3"/>
      <c r="N2963" s="3"/>
      <c r="Q2963" s="3"/>
      <c r="R2963" s="3"/>
      <c r="S2963" s="3"/>
      <c r="V2963" s="3"/>
      <c r="W2963" s="3"/>
      <c r="X2963" s="3"/>
      <c r="Y2963" s="3"/>
      <c r="Z2963" s="3"/>
      <c r="AA2963" s="3"/>
      <c r="AB2963" s="3"/>
    </row>
    <row r="2964" spans="1:28" x14ac:dyDescent="0.3">
      <c r="A2964" s="2"/>
      <c r="F2964" s="3"/>
      <c r="G2964" s="3"/>
      <c r="N2964" s="3"/>
      <c r="Q2964" s="3"/>
      <c r="R2964" s="3"/>
      <c r="S2964" s="3"/>
      <c r="V2964" s="3"/>
      <c r="W2964" s="3"/>
      <c r="X2964" s="3"/>
      <c r="Y2964" s="3"/>
      <c r="Z2964" s="3"/>
      <c r="AA2964" s="3"/>
      <c r="AB2964" s="3"/>
    </row>
    <row r="2965" spans="1:28" x14ac:dyDescent="0.3">
      <c r="A2965" s="2"/>
      <c r="F2965" s="3"/>
      <c r="G2965" s="3"/>
      <c r="N2965" s="3"/>
      <c r="Q2965" s="3"/>
      <c r="R2965" s="3"/>
      <c r="S2965" s="3"/>
      <c r="V2965" s="3"/>
      <c r="W2965" s="3"/>
      <c r="X2965" s="3"/>
      <c r="Y2965" s="3"/>
      <c r="Z2965" s="3"/>
      <c r="AA2965" s="3"/>
      <c r="AB2965" s="3"/>
    </row>
    <row r="2966" spans="1:28" x14ac:dyDescent="0.3">
      <c r="A2966" s="2"/>
      <c r="F2966" s="3"/>
      <c r="G2966" s="3"/>
      <c r="N2966" s="3"/>
      <c r="Q2966" s="3"/>
      <c r="R2966" s="3"/>
      <c r="S2966" s="3"/>
      <c r="V2966" s="3"/>
      <c r="W2966" s="3"/>
      <c r="X2966" s="3"/>
      <c r="Y2966" s="3"/>
      <c r="Z2966" s="3"/>
      <c r="AA2966" s="3"/>
      <c r="AB2966" s="3"/>
    </row>
    <row r="2967" spans="1:28" x14ac:dyDescent="0.3">
      <c r="A2967" s="2"/>
      <c r="F2967" s="3"/>
      <c r="G2967" s="3"/>
      <c r="N2967" s="3"/>
      <c r="Q2967" s="3"/>
      <c r="R2967" s="3"/>
      <c r="S2967" s="3"/>
      <c r="V2967" s="3"/>
      <c r="W2967" s="3"/>
      <c r="X2967" s="3"/>
      <c r="Y2967" s="3"/>
      <c r="Z2967" s="3"/>
      <c r="AA2967" s="3"/>
      <c r="AB2967" s="3"/>
    </row>
    <row r="2968" spans="1:28" x14ac:dyDescent="0.3">
      <c r="A2968" s="2"/>
      <c r="F2968" s="3"/>
      <c r="G2968" s="3"/>
      <c r="N2968" s="3"/>
      <c r="Q2968" s="3"/>
      <c r="R2968" s="3"/>
      <c r="S2968" s="3"/>
      <c r="V2968" s="3"/>
      <c r="W2968" s="3"/>
      <c r="X2968" s="3"/>
      <c r="Y2968" s="3"/>
      <c r="Z2968" s="3"/>
      <c r="AA2968" s="3"/>
      <c r="AB2968" s="3"/>
    </row>
    <row r="2969" spans="1:28" x14ac:dyDescent="0.3">
      <c r="A2969" s="2"/>
      <c r="F2969" s="3"/>
      <c r="G2969" s="3"/>
      <c r="N2969" s="3"/>
      <c r="Q2969" s="3"/>
      <c r="R2969" s="3"/>
      <c r="S2969" s="3"/>
      <c r="V2969" s="3"/>
      <c r="W2969" s="3"/>
      <c r="X2969" s="3"/>
      <c r="Y2969" s="3"/>
      <c r="Z2969" s="3"/>
      <c r="AA2969" s="3"/>
      <c r="AB2969" s="3"/>
    </row>
    <row r="2970" spans="1:28" x14ac:dyDescent="0.3">
      <c r="A2970" s="2"/>
      <c r="F2970" s="3"/>
      <c r="G2970" s="3"/>
      <c r="N2970" s="3"/>
      <c r="Q2970" s="3"/>
      <c r="R2970" s="3"/>
      <c r="S2970" s="3"/>
      <c r="V2970" s="3"/>
      <c r="W2970" s="3"/>
      <c r="X2970" s="3"/>
      <c r="Y2970" s="3"/>
      <c r="Z2970" s="3"/>
      <c r="AA2970" s="3"/>
      <c r="AB2970" s="3"/>
    </row>
    <row r="2971" spans="1:28" x14ac:dyDescent="0.3">
      <c r="A2971" s="2"/>
      <c r="F2971" s="3"/>
      <c r="G2971" s="3"/>
      <c r="N2971" s="3"/>
      <c r="Q2971" s="3"/>
      <c r="R2971" s="3"/>
      <c r="S2971" s="3"/>
      <c r="V2971" s="3"/>
      <c r="W2971" s="3"/>
      <c r="X2971" s="3"/>
      <c r="Y2971" s="3"/>
      <c r="Z2971" s="3"/>
      <c r="AA2971" s="3"/>
      <c r="AB2971" s="3"/>
    </row>
    <row r="2972" spans="1:28" x14ac:dyDescent="0.3">
      <c r="A2972" s="2"/>
      <c r="F2972" s="3"/>
      <c r="G2972" s="3"/>
      <c r="N2972" s="3"/>
      <c r="Q2972" s="3"/>
      <c r="R2972" s="3"/>
      <c r="S2972" s="3"/>
      <c r="V2972" s="3"/>
      <c r="W2972" s="3"/>
      <c r="X2972" s="3"/>
      <c r="Y2972" s="3"/>
      <c r="Z2972" s="3"/>
      <c r="AA2972" s="3"/>
      <c r="AB2972" s="3"/>
    </row>
    <row r="2973" spans="1:28" x14ac:dyDescent="0.3">
      <c r="A2973" s="2"/>
      <c r="F2973" s="3"/>
      <c r="G2973" s="3"/>
      <c r="N2973" s="3"/>
      <c r="Q2973" s="3"/>
      <c r="R2973" s="3"/>
      <c r="S2973" s="3"/>
      <c r="V2973" s="3"/>
      <c r="W2973" s="3"/>
      <c r="X2973" s="3"/>
      <c r="Y2973" s="3"/>
      <c r="Z2973" s="3"/>
      <c r="AA2973" s="3"/>
      <c r="AB2973" s="3"/>
    </row>
    <row r="2974" spans="1:28" x14ac:dyDescent="0.3">
      <c r="A2974" s="2"/>
      <c r="F2974" s="3"/>
      <c r="G2974" s="3"/>
      <c r="N2974" s="3"/>
      <c r="Q2974" s="3"/>
      <c r="R2974" s="3"/>
      <c r="S2974" s="3"/>
      <c r="V2974" s="3"/>
      <c r="W2974" s="3"/>
      <c r="X2974" s="3"/>
      <c r="Y2974" s="3"/>
      <c r="Z2974" s="3"/>
      <c r="AA2974" s="3"/>
      <c r="AB2974" s="3"/>
    </row>
    <row r="2975" spans="1:28" x14ac:dyDescent="0.3">
      <c r="A2975" s="2"/>
      <c r="F2975" s="3"/>
      <c r="G2975" s="3"/>
      <c r="N2975" s="3"/>
      <c r="Q2975" s="3"/>
      <c r="R2975" s="3"/>
      <c r="S2975" s="3"/>
      <c r="V2975" s="3"/>
      <c r="W2975" s="3"/>
      <c r="X2975" s="3"/>
      <c r="Y2975" s="3"/>
      <c r="Z2975" s="3"/>
      <c r="AA2975" s="3"/>
      <c r="AB2975" s="3"/>
    </row>
    <row r="2976" spans="1:28" x14ac:dyDescent="0.3">
      <c r="A2976" s="2"/>
      <c r="F2976" s="3"/>
      <c r="G2976" s="3"/>
      <c r="N2976" s="3"/>
      <c r="Q2976" s="3"/>
      <c r="R2976" s="3"/>
      <c r="S2976" s="3"/>
      <c r="V2976" s="3"/>
      <c r="W2976" s="3"/>
      <c r="X2976" s="3"/>
      <c r="Y2976" s="3"/>
      <c r="Z2976" s="3"/>
      <c r="AA2976" s="3"/>
      <c r="AB2976" s="3"/>
    </row>
    <row r="2977" spans="1:28" x14ac:dyDescent="0.3">
      <c r="A2977" s="2"/>
      <c r="F2977" s="3"/>
      <c r="G2977" s="3"/>
      <c r="N2977" s="3"/>
      <c r="Q2977" s="3"/>
      <c r="R2977" s="3"/>
      <c r="S2977" s="3"/>
      <c r="V2977" s="3"/>
      <c r="W2977" s="3"/>
      <c r="X2977" s="3"/>
      <c r="Y2977" s="3"/>
      <c r="Z2977" s="3"/>
      <c r="AA2977" s="3"/>
      <c r="AB2977" s="3"/>
    </row>
    <row r="2978" spans="1:28" x14ac:dyDescent="0.3">
      <c r="A2978" s="2"/>
      <c r="F2978" s="3"/>
      <c r="G2978" s="3"/>
      <c r="N2978" s="3"/>
      <c r="Q2978" s="3"/>
      <c r="R2978" s="3"/>
      <c r="S2978" s="3"/>
      <c r="V2978" s="3"/>
      <c r="W2978" s="3"/>
      <c r="X2978" s="3"/>
      <c r="Y2978" s="3"/>
      <c r="Z2978" s="3"/>
      <c r="AA2978" s="3"/>
      <c r="AB2978" s="3"/>
    </row>
    <row r="2979" spans="1:28" x14ac:dyDescent="0.3">
      <c r="A2979" s="2"/>
      <c r="F2979" s="3"/>
      <c r="G2979" s="3"/>
      <c r="N2979" s="3"/>
      <c r="Q2979" s="3"/>
      <c r="R2979" s="3"/>
      <c r="S2979" s="3"/>
      <c r="V2979" s="3"/>
      <c r="W2979" s="3"/>
      <c r="X2979" s="3"/>
      <c r="Y2979" s="3"/>
      <c r="Z2979" s="3"/>
      <c r="AA2979" s="3"/>
      <c r="AB2979" s="3"/>
    </row>
    <row r="2980" spans="1:28" x14ac:dyDescent="0.3">
      <c r="A2980" s="2"/>
      <c r="F2980" s="3"/>
      <c r="G2980" s="3"/>
      <c r="N2980" s="3"/>
      <c r="Q2980" s="3"/>
      <c r="R2980" s="3"/>
      <c r="S2980" s="3"/>
      <c r="V2980" s="3"/>
      <c r="W2980" s="3"/>
      <c r="X2980" s="3"/>
      <c r="Y2980" s="3"/>
      <c r="Z2980" s="3"/>
      <c r="AA2980" s="3"/>
      <c r="AB2980" s="3"/>
    </row>
    <row r="2981" spans="1:28" x14ac:dyDescent="0.3">
      <c r="A2981" s="2"/>
      <c r="F2981" s="3"/>
      <c r="G2981" s="3"/>
      <c r="N2981" s="3"/>
      <c r="Q2981" s="3"/>
      <c r="R2981" s="3"/>
      <c r="S2981" s="3"/>
      <c r="V2981" s="3"/>
      <c r="W2981" s="3"/>
      <c r="X2981" s="3"/>
      <c r="Y2981" s="3"/>
      <c r="Z2981" s="3"/>
      <c r="AA2981" s="3"/>
      <c r="AB2981" s="3"/>
    </row>
    <row r="2982" spans="1:28" x14ac:dyDescent="0.3">
      <c r="A2982" s="2"/>
      <c r="F2982" s="3"/>
      <c r="G2982" s="3"/>
      <c r="N2982" s="3"/>
      <c r="Q2982" s="3"/>
      <c r="R2982" s="3"/>
      <c r="S2982" s="3"/>
      <c r="V2982" s="3"/>
      <c r="W2982" s="3"/>
      <c r="X2982" s="3"/>
      <c r="Y2982" s="3"/>
      <c r="Z2982" s="3"/>
      <c r="AA2982" s="3"/>
      <c r="AB2982" s="3"/>
    </row>
    <row r="2983" spans="1:28" x14ac:dyDescent="0.3">
      <c r="A2983" s="2"/>
      <c r="F2983" s="3"/>
      <c r="G2983" s="3"/>
      <c r="N2983" s="3"/>
      <c r="Q2983" s="3"/>
      <c r="R2983" s="3"/>
      <c r="S2983" s="3"/>
      <c r="V2983" s="3"/>
      <c r="W2983" s="3"/>
      <c r="X2983" s="3"/>
      <c r="Y2983" s="3"/>
      <c r="Z2983" s="3"/>
      <c r="AA2983" s="3"/>
      <c r="AB2983" s="3"/>
    </row>
    <row r="2984" spans="1:28" x14ac:dyDescent="0.3">
      <c r="A2984" s="2"/>
      <c r="F2984" s="3"/>
      <c r="G2984" s="3"/>
      <c r="N2984" s="3"/>
      <c r="Q2984" s="3"/>
      <c r="R2984" s="3"/>
      <c r="S2984" s="3"/>
      <c r="V2984" s="3"/>
      <c r="W2984" s="3"/>
      <c r="X2984" s="3"/>
      <c r="Y2984" s="3"/>
      <c r="Z2984" s="3"/>
      <c r="AA2984" s="3"/>
      <c r="AB2984" s="3"/>
    </row>
    <row r="2985" spans="1:28" x14ac:dyDescent="0.3">
      <c r="A2985" s="2"/>
      <c r="F2985" s="3"/>
      <c r="G2985" s="3"/>
      <c r="N2985" s="3"/>
      <c r="Q2985" s="3"/>
      <c r="R2985" s="3"/>
      <c r="S2985" s="3"/>
      <c r="V2985" s="3"/>
      <c r="W2985" s="3"/>
      <c r="X2985" s="3"/>
      <c r="Y2985" s="3"/>
      <c r="Z2985" s="3"/>
      <c r="AA2985" s="3"/>
      <c r="AB2985" s="3"/>
    </row>
    <row r="2986" spans="1:28" x14ac:dyDescent="0.3">
      <c r="A2986" s="2"/>
      <c r="F2986" s="3"/>
      <c r="G2986" s="3"/>
      <c r="N2986" s="3"/>
      <c r="Q2986" s="3"/>
      <c r="R2986" s="3"/>
      <c r="S2986" s="3"/>
      <c r="V2986" s="3"/>
      <c r="W2986" s="3"/>
      <c r="X2986" s="3"/>
      <c r="Y2986" s="3"/>
      <c r="Z2986" s="3"/>
      <c r="AA2986" s="3"/>
      <c r="AB2986" s="3"/>
    </row>
    <row r="2987" spans="1:28" x14ac:dyDescent="0.3">
      <c r="A2987" s="2"/>
      <c r="F2987" s="3"/>
      <c r="G2987" s="3"/>
      <c r="N2987" s="3"/>
      <c r="Q2987" s="3"/>
      <c r="R2987" s="3"/>
      <c r="S2987" s="3"/>
      <c r="V2987" s="3"/>
      <c r="W2987" s="3"/>
      <c r="X2987" s="3"/>
      <c r="Y2987" s="3"/>
      <c r="Z2987" s="3"/>
      <c r="AA2987" s="3"/>
      <c r="AB2987" s="3"/>
    </row>
    <row r="2988" spans="1:28" x14ac:dyDescent="0.3">
      <c r="A2988" s="2"/>
      <c r="F2988" s="3"/>
      <c r="G2988" s="3"/>
      <c r="N2988" s="3"/>
      <c r="Q2988" s="3"/>
      <c r="R2988" s="3"/>
      <c r="S2988" s="3"/>
      <c r="V2988" s="3"/>
      <c r="W2988" s="3"/>
      <c r="X2988" s="3"/>
      <c r="Y2988" s="3"/>
      <c r="Z2988" s="3"/>
      <c r="AA2988" s="3"/>
      <c r="AB2988" s="3"/>
    </row>
    <row r="2989" spans="1:28" x14ac:dyDescent="0.3">
      <c r="A2989" s="2"/>
      <c r="F2989" s="3"/>
      <c r="G2989" s="3"/>
      <c r="N2989" s="3"/>
      <c r="Q2989" s="3"/>
      <c r="R2989" s="3"/>
      <c r="S2989" s="3"/>
      <c r="V2989" s="3"/>
      <c r="W2989" s="3"/>
      <c r="X2989" s="3"/>
      <c r="Y2989" s="3"/>
      <c r="Z2989" s="3"/>
      <c r="AA2989" s="3"/>
      <c r="AB2989" s="3"/>
    </row>
    <row r="2990" spans="1:28" x14ac:dyDescent="0.3">
      <c r="A2990" s="2"/>
      <c r="F2990" s="3"/>
      <c r="G2990" s="3"/>
      <c r="N2990" s="3"/>
      <c r="Q2990" s="3"/>
      <c r="R2990" s="3"/>
      <c r="S2990" s="3"/>
      <c r="V2990" s="3"/>
      <c r="W2990" s="3"/>
      <c r="X2990" s="3"/>
      <c r="Y2990" s="3"/>
      <c r="Z2990" s="3"/>
      <c r="AA2990" s="3"/>
      <c r="AB2990" s="3"/>
    </row>
    <row r="2991" spans="1:28" x14ac:dyDescent="0.3">
      <c r="A2991" s="2"/>
      <c r="F2991" s="3"/>
      <c r="G2991" s="3"/>
      <c r="N2991" s="3"/>
      <c r="Q2991" s="3"/>
      <c r="R2991" s="3"/>
      <c r="S2991" s="3"/>
      <c r="V2991" s="3"/>
      <c r="W2991" s="3"/>
      <c r="X2991" s="3"/>
      <c r="Y2991" s="3"/>
      <c r="Z2991" s="3"/>
      <c r="AA2991" s="3"/>
      <c r="AB2991" s="3"/>
    </row>
    <row r="2992" spans="1:28" x14ac:dyDescent="0.3">
      <c r="A2992" s="2"/>
      <c r="F2992" s="3"/>
      <c r="G2992" s="3"/>
      <c r="N2992" s="3"/>
      <c r="Q2992" s="3"/>
      <c r="R2992" s="3"/>
      <c r="S2992" s="3"/>
      <c r="V2992" s="3"/>
      <c r="W2992" s="3"/>
      <c r="X2992" s="3"/>
      <c r="Y2992" s="3"/>
      <c r="Z2992" s="3"/>
      <c r="AA2992" s="3"/>
      <c r="AB2992" s="3"/>
    </row>
    <row r="2993" spans="1:28" x14ac:dyDescent="0.3">
      <c r="A2993" s="2"/>
      <c r="F2993" s="3"/>
      <c r="G2993" s="3"/>
      <c r="N2993" s="3"/>
      <c r="Q2993" s="3"/>
      <c r="R2993" s="3"/>
      <c r="S2993" s="3"/>
      <c r="V2993" s="3"/>
      <c r="W2993" s="3"/>
      <c r="X2993" s="3"/>
      <c r="Y2993" s="3"/>
      <c r="Z2993" s="3"/>
      <c r="AA2993" s="3"/>
      <c r="AB2993" s="3"/>
    </row>
    <row r="2994" spans="1:28" x14ac:dyDescent="0.3">
      <c r="A2994" s="2"/>
      <c r="F2994" s="3"/>
      <c r="G2994" s="3"/>
      <c r="N2994" s="3"/>
      <c r="Q2994" s="3"/>
      <c r="R2994" s="3"/>
      <c r="S2994" s="3"/>
      <c r="V2994" s="3"/>
      <c r="W2994" s="3"/>
      <c r="X2994" s="3"/>
      <c r="Y2994" s="3"/>
      <c r="Z2994" s="3"/>
      <c r="AA2994" s="3"/>
      <c r="AB2994" s="3"/>
    </row>
    <row r="2995" spans="1:28" x14ac:dyDescent="0.3">
      <c r="A2995" s="2"/>
      <c r="F2995" s="3"/>
      <c r="G2995" s="3"/>
      <c r="N2995" s="3"/>
      <c r="Q2995" s="3"/>
      <c r="R2995" s="3"/>
      <c r="S2995" s="3"/>
      <c r="V2995" s="3"/>
      <c r="W2995" s="3"/>
      <c r="X2995" s="3"/>
      <c r="Y2995" s="3"/>
      <c r="Z2995" s="3"/>
      <c r="AA2995" s="3"/>
      <c r="AB2995" s="3"/>
    </row>
    <row r="2996" spans="1:28" x14ac:dyDescent="0.3">
      <c r="A2996" s="2"/>
      <c r="F2996" s="3"/>
      <c r="G2996" s="3"/>
      <c r="N2996" s="3"/>
      <c r="Q2996" s="3"/>
      <c r="R2996" s="3"/>
      <c r="S2996" s="3"/>
      <c r="V2996" s="3"/>
      <c r="W2996" s="3"/>
      <c r="X2996" s="3"/>
      <c r="Y2996" s="3"/>
      <c r="Z2996" s="3"/>
      <c r="AA2996" s="3"/>
      <c r="AB2996" s="3"/>
    </row>
    <row r="2997" spans="1:28" x14ac:dyDescent="0.3">
      <c r="A2997" s="2"/>
      <c r="F2997" s="3"/>
      <c r="G2997" s="3"/>
      <c r="N2997" s="3"/>
      <c r="Q2997" s="3"/>
      <c r="R2997" s="3"/>
      <c r="S2997" s="3"/>
      <c r="V2997" s="3"/>
      <c r="W2997" s="3"/>
      <c r="X2997" s="3"/>
      <c r="Y2997" s="3"/>
      <c r="Z2997" s="3"/>
      <c r="AA2997" s="3"/>
      <c r="AB2997" s="3"/>
    </row>
    <row r="2998" spans="1:28" x14ac:dyDescent="0.3">
      <c r="A2998" s="2"/>
      <c r="F2998" s="3"/>
      <c r="G2998" s="3"/>
      <c r="N2998" s="3"/>
      <c r="Q2998" s="3"/>
      <c r="R2998" s="3"/>
      <c r="S2998" s="3"/>
      <c r="V2998" s="3"/>
      <c r="W2998" s="3"/>
      <c r="X2998" s="3"/>
      <c r="Y2998" s="3"/>
      <c r="Z2998" s="3"/>
      <c r="AA2998" s="3"/>
      <c r="AB2998" s="3"/>
    </row>
    <row r="2999" spans="1:28" x14ac:dyDescent="0.3">
      <c r="A2999" s="2"/>
      <c r="F2999" s="3"/>
      <c r="G2999" s="3"/>
      <c r="N2999" s="3"/>
      <c r="Q2999" s="3"/>
      <c r="R2999" s="3"/>
      <c r="S2999" s="3"/>
      <c r="V2999" s="3"/>
      <c r="W2999" s="3"/>
      <c r="X2999" s="3"/>
      <c r="Y2999" s="3"/>
      <c r="Z2999" s="3"/>
      <c r="AA2999" s="3"/>
      <c r="AB2999" s="3"/>
    </row>
    <row r="3000" spans="1:28" x14ac:dyDescent="0.3">
      <c r="A3000" s="2"/>
      <c r="F3000" s="3"/>
      <c r="G3000" s="3"/>
      <c r="N3000" s="3"/>
      <c r="Q3000" s="3"/>
      <c r="R3000" s="3"/>
      <c r="S3000" s="3"/>
      <c r="V3000" s="3"/>
      <c r="W3000" s="3"/>
      <c r="X3000" s="3"/>
      <c r="Y3000" s="3"/>
      <c r="Z3000" s="3"/>
      <c r="AA3000" s="3"/>
      <c r="AB3000" s="3"/>
    </row>
    <row r="3001" spans="1:28" x14ac:dyDescent="0.3">
      <c r="A3001" s="2"/>
      <c r="F3001" s="3"/>
      <c r="G3001" s="3"/>
      <c r="N3001" s="3"/>
      <c r="Q3001" s="3"/>
      <c r="R3001" s="3"/>
      <c r="S3001" s="3"/>
      <c r="V3001" s="3"/>
      <c r="W3001" s="3"/>
      <c r="X3001" s="3"/>
      <c r="Y3001" s="3"/>
      <c r="Z3001" s="3"/>
      <c r="AA3001" s="3"/>
      <c r="AB3001" s="3"/>
    </row>
    <row r="3002" spans="1:28" x14ac:dyDescent="0.3">
      <c r="A3002" s="2"/>
      <c r="F3002" s="3"/>
      <c r="G3002" s="3"/>
      <c r="N3002" s="3"/>
      <c r="Q3002" s="3"/>
      <c r="R3002" s="3"/>
      <c r="S3002" s="3"/>
      <c r="V3002" s="3"/>
      <c r="W3002" s="3"/>
      <c r="X3002" s="3"/>
      <c r="Y3002" s="3"/>
      <c r="Z3002" s="3"/>
      <c r="AA3002" s="3"/>
      <c r="AB3002" s="3"/>
    </row>
    <row r="3003" spans="1:28" x14ac:dyDescent="0.3">
      <c r="A3003" s="2"/>
      <c r="F3003" s="3"/>
      <c r="G3003" s="3"/>
      <c r="N3003" s="3"/>
      <c r="Q3003" s="3"/>
      <c r="R3003" s="3"/>
      <c r="S3003" s="3"/>
      <c r="V3003" s="3"/>
      <c r="W3003" s="3"/>
      <c r="X3003" s="3"/>
      <c r="Y3003" s="3"/>
      <c r="Z3003" s="3"/>
      <c r="AA3003" s="3"/>
      <c r="AB3003" s="3"/>
    </row>
    <row r="3004" spans="1:28" x14ac:dyDescent="0.3">
      <c r="A3004" s="2"/>
      <c r="F3004" s="3"/>
      <c r="G3004" s="3"/>
      <c r="N3004" s="3"/>
      <c r="Q3004" s="3"/>
      <c r="R3004" s="3"/>
      <c r="S3004" s="3"/>
      <c r="V3004" s="3"/>
      <c r="W3004" s="3"/>
      <c r="X3004" s="3"/>
      <c r="Y3004" s="3"/>
      <c r="Z3004" s="3"/>
      <c r="AA3004" s="3"/>
      <c r="AB3004" s="3"/>
    </row>
    <row r="3005" spans="1:28" x14ac:dyDescent="0.3">
      <c r="A3005" s="2"/>
      <c r="F3005" s="3"/>
      <c r="G3005" s="3"/>
      <c r="N3005" s="3"/>
      <c r="Q3005" s="3"/>
      <c r="R3005" s="3"/>
      <c r="S3005" s="3"/>
      <c r="V3005" s="3"/>
      <c r="W3005" s="3"/>
      <c r="X3005" s="3"/>
      <c r="Y3005" s="3"/>
      <c r="Z3005" s="3"/>
      <c r="AA3005" s="3"/>
      <c r="AB3005" s="3"/>
    </row>
    <row r="3006" spans="1:28" x14ac:dyDescent="0.3">
      <c r="A3006" s="2"/>
      <c r="F3006" s="3"/>
      <c r="G3006" s="3"/>
      <c r="N3006" s="3"/>
      <c r="Q3006" s="3"/>
      <c r="R3006" s="3"/>
      <c r="S3006" s="3"/>
      <c r="V3006" s="3"/>
      <c r="W3006" s="3"/>
      <c r="X3006" s="3"/>
      <c r="Y3006" s="3"/>
      <c r="Z3006" s="3"/>
      <c r="AA3006" s="3"/>
      <c r="AB3006" s="3"/>
    </row>
    <row r="3007" spans="1:28" x14ac:dyDescent="0.3">
      <c r="A3007" s="2"/>
      <c r="F3007" s="3"/>
      <c r="G3007" s="3"/>
      <c r="N3007" s="3"/>
      <c r="Q3007" s="3"/>
      <c r="R3007" s="3"/>
      <c r="S3007" s="3"/>
      <c r="V3007" s="3"/>
      <c r="W3007" s="3"/>
      <c r="X3007" s="3"/>
      <c r="Y3007" s="3"/>
      <c r="Z3007" s="3"/>
      <c r="AA3007" s="3"/>
      <c r="AB3007" s="3"/>
    </row>
    <row r="3008" spans="1:28" x14ac:dyDescent="0.3">
      <c r="A3008" s="2"/>
      <c r="F3008" s="3"/>
      <c r="G3008" s="3"/>
      <c r="N3008" s="3"/>
      <c r="Q3008" s="3"/>
      <c r="R3008" s="3"/>
      <c r="S3008" s="3"/>
      <c r="V3008" s="3"/>
      <c r="W3008" s="3"/>
      <c r="X3008" s="3"/>
      <c r="Y3008" s="3"/>
      <c r="Z3008" s="3"/>
      <c r="AA3008" s="3"/>
      <c r="AB3008" s="3"/>
    </row>
    <row r="3009" spans="1:28" x14ac:dyDescent="0.3">
      <c r="A3009" s="2"/>
      <c r="F3009" s="3"/>
      <c r="G3009" s="3"/>
      <c r="N3009" s="3"/>
      <c r="Q3009" s="3"/>
      <c r="R3009" s="3"/>
      <c r="S3009" s="3"/>
      <c r="V3009" s="3"/>
      <c r="W3009" s="3"/>
      <c r="X3009" s="3"/>
      <c r="Y3009" s="3"/>
      <c r="Z3009" s="3"/>
      <c r="AA3009" s="3"/>
      <c r="AB3009" s="3"/>
    </row>
    <row r="3010" spans="1:28" x14ac:dyDescent="0.3">
      <c r="A3010" s="2"/>
      <c r="F3010" s="3"/>
      <c r="G3010" s="3"/>
      <c r="N3010" s="3"/>
      <c r="Q3010" s="3"/>
      <c r="R3010" s="3"/>
      <c r="S3010" s="3"/>
      <c r="V3010" s="3"/>
      <c r="W3010" s="3"/>
      <c r="X3010" s="3"/>
      <c r="Y3010" s="3"/>
      <c r="Z3010" s="3"/>
      <c r="AA3010" s="3"/>
      <c r="AB3010" s="3"/>
    </row>
    <row r="3011" spans="1:28" x14ac:dyDescent="0.3">
      <c r="A3011" s="2"/>
      <c r="F3011" s="3"/>
      <c r="G3011" s="3"/>
      <c r="N3011" s="3"/>
      <c r="Q3011" s="3"/>
      <c r="R3011" s="3"/>
      <c r="S3011" s="3"/>
      <c r="V3011" s="3"/>
      <c r="W3011" s="3"/>
      <c r="X3011" s="3"/>
      <c r="Y3011" s="3"/>
      <c r="Z3011" s="3"/>
      <c r="AA3011" s="3"/>
      <c r="AB3011" s="3"/>
    </row>
    <row r="3012" spans="1:28" x14ac:dyDescent="0.3">
      <c r="A3012" s="2"/>
      <c r="F3012" s="3"/>
      <c r="G3012" s="3"/>
      <c r="N3012" s="3"/>
      <c r="Q3012" s="3"/>
      <c r="R3012" s="3"/>
      <c r="S3012" s="3"/>
      <c r="V3012" s="3"/>
      <c r="W3012" s="3"/>
      <c r="X3012" s="3"/>
      <c r="Y3012" s="3"/>
      <c r="Z3012" s="3"/>
      <c r="AA3012" s="3"/>
      <c r="AB3012" s="3"/>
    </row>
    <row r="3013" spans="1:28" x14ac:dyDescent="0.3">
      <c r="A3013" s="2"/>
      <c r="F3013" s="3"/>
      <c r="G3013" s="3"/>
      <c r="N3013" s="3"/>
      <c r="Q3013" s="3"/>
      <c r="R3013" s="3"/>
      <c r="S3013" s="3"/>
      <c r="V3013" s="3"/>
      <c r="W3013" s="3"/>
      <c r="X3013" s="3"/>
      <c r="Y3013" s="3"/>
      <c r="Z3013" s="3"/>
      <c r="AA3013" s="3"/>
      <c r="AB3013" s="3"/>
    </row>
    <row r="3014" spans="1:28" x14ac:dyDescent="0.3">
      <c r="A3014" s="2"/>
      <c r="F3014" s="3"/>
      <c r="G3014" s="3"/>
      <c r="N3014" s="3"/>
      <c r="Q3014" s="3"/>
      <c r="R3014" s="3"/>
      <c r="S3014" s="3"/>
      <c r="V3014" s="3"/>
      <c r="W3014" s="3"/>
      <c r="X3014" s="3"/>
      <c r="Y3014" s="3"/>
      <c r="Z3014" s="3"/>
      <c r="AA3014" s="3"/>
      <c r="AB3014" s="3"/>
    </row>
    <row r="3015" spans="1:28" x14ac:dyDescent="0.3">
      <c r="A3015" s="2"/>
      <c r="F3015" s="3"/>
      <c r="G3015" s="3"/>
      <c r="N3015" s="3"/>
      <c r="Q3015" s="3"/>
      <c r="R3015" s="3"/>
      <c r="S3015" s="3"/>
      <c r="V3015" s="3"/>
      <c r="W3015" s="3"/>
      <c r="X3015" s="3"/>
      <c r="Y3015" s="3"/>
      <c r="Z3015" s="3"/>
      <c r="AA3015" s="3"/>
      <c r="AB3015" s="3"/>
    </row>
    <row r="3016" spans="1:28" x14ac:dyDescent="0.3">
      <c r="A3016" s="2"/>
      <c r="F3016" s="3"/>
      <c r="G3016" s="3"/>
      <c r="N3016" s="3"/>
      <c r="Q3016" s="3"/>
      <c r="R3016" s="3"/>
      <c r="S3016" s="3"/>
      <c r="V3016" s="3"/>
      <c r="W3016" s="3"/>
      <c r="X3016" s="3"/>
      <c r="Y3016" s="3"/>
      <c r="Z3016" s="3"/>
      <c r="AA3016" s="3"/>
      <c r="AB3016" s="3"/>
    </row>
    <row r="3017" spans="1:28" x14ac:dyDescent="0.3">
      <c r="A3017" s="2"/>
      <c r="F3017" s="3"/>
      <c r="G3017" s="3"/>
      <c r="N3017" s="3"/>
      <c r="Q3017" s="3"/>
      <c r="R3017" s="3"/>
      <c r="S3017" s="3"/>
      <c r="V3017" s="3"/>
      <c r="W3017" s="3"/>
      <c r="X3017" s="3"/>
      <c r="Y3017" s="3"/>
      <c r="Z3017" s="3"/>
      <c r="AA3017" s="3"/>
      <c r="AB3017" s="3"/>
    </row>
    <row r="3018" spans="1:28" x14ac:dyDescent="0.3">
      <c r="A3018" s="2"/>
      <c r="F3018" s="3"/>
      <c r="G3018" s="3"/>
      <c r="N3018" s="3"/>
      <c r="Q3018" s="3"/>
      <c r="R3018" s="3"/>
      <c r="S3018" s="3"/>
      <c r="V3018" s="3"/>
      <c r="W3018" s="3"/>
      <c r="X3018" s="3"/>
      <c r="Y3018" s="3"/>
      <c r="Z3018" s="3"/>
      <c r="AA3018" s="3"/>
      <c r="AB3018" s="3"/>
    </row>
    <row r="3019" spans="1:28" x14ac:dyDescent="0.3">
      <c r="A3019" s="2"/>
      <c r="F3019" s="3"/>
      <c r="G3019" s="3"/>
      <c r="N3019" s="3"/>
      <c r="Q3019" s="3"/>
      <c r="R3019" s="3"/>
      <c r="S3019" s="3"/>
      <c r="V3019" s="3"/>
      <c r="W3019" s="3"/>
      <c r="X3019" s="3"/>
      <c r="Y3019" s="3"/>
      <c r="Z3019" s="3"/>
      <c r="AA3019" s="3"/>
      <c r="AB3019" s="3"/>
    </row>
    <row r="3020" spans="1:28" x14ac:dyDescent="0.3">
      <c r="A3020" s="2"/>
      <c r="F3020" s="3"/>
      <c r="G3020" s="3"/>
      <c r="N3020" s="3"/>
      <c r="Q3020" s="3"/>
      <c r="R3020" s="3"/>
      <c r="S3020" s="3"/>
      <c r="V3020" s="3"/>
      <c r="W3020" s="3"/>
      <c r="X3020" s="3"/>
      <c r="Y3020" s="3"/>
      <c r="Z3020" s="3"/>
      <c r="AA3020" s="3"/>
      <c r="AB3020" s="3"/>
    </row>
    <row r="3021" spans="1:28" x14ac:dyDescent="0.3">
      <c r="A3021" s="2"/>
      <c r="F3021" s="3"/>
      <c r="G3021" s="3"/>
      <c r="N3021" s="3"/>
      <c r="Q3021" s="3"/>
      <c r="R3021" s="3"/>
      <c r="S3021" s="3"/>
      <c r="V3021" s="3"/>
      <c r="W3021" s="3"/>
      <c r="X3021" s="3"/>
      <c r="Y3021" s="3"/>
      <c r="Z3021" s="3"/>
      <c r="AA3021" s="3"/>
      <c r="AB3021" s="3"/>
    </row>
    <row r="3022" spans="1:28" x14ac:dyDescent="0.3">
      <c r="A3022" s="2"/>
      <c r="F3022" s="3"/>
      <c r="G3022" s="3"/>
      <c r="N3022" s="3"/>
      <c r="Q3022" s="3"/>
      <c r="R3022" s="3"/>
      <c r="S3022" s="3"/>
      <c r="V3022" s="3"/>
      <c r="W3022" s="3"/>
      <c r="X3022" s="3"/>
      <c r="Y3022" s="3"/>
      <c r="Z3022" s="3"/>
      <c r="AA3022" s="3"/>
      <c r="AB3022" s="3"/>
    </row>
    <row r="3023" spans="1:28" x14ac:dyDescent="0.3">
      <c r="A3023" s="2"/>
      <c r="F3023" s="3"/>
      <c r="G3023" s="3"/>
      <c r="N3023" s="3"/>
      <c r="Q3023" s="3"/>
      <c r="R3023" s="3"/>
      <c r="S3023" s="3"/>
      <c r="V3023" s="3"/>
      <c r="W3023" s="3"/>
      <c r="X3023" s="3"/>
      <c r="Y3023" s="3"/>
      <c r="Z3023" s="3"/>
      <c r="AA3023" s="3"/>
      <c r="AB3023" s="3"/>
    </row>
    <row r="3024" spans="1:28" x14ac:dyDescent="0.3">
      <c r="A3024" s="2"/>
      <c r="F3024" s="3"/>
      <c r="G3024" s="3"/>
      <c r="N3024" s="3"/>
      <c r="Q3024" s="3"/>
      <c r="R3024" s="3"/>
      <c r="S3024" s="3"/>
      <c r="V3024" s="3"/>
      <c r="W3024" s="3"/>
      <c r="X3024" s="3"/>
      <c r="Y3024" s="3"/>
      <c r="Z3024" s="3"/>
      <c r="AA3024" s="3"/>
      <c r="AB3024" s="3"/>
    </row>
    <row r="3025" spans="1:28" x14ac:dyDescent="0.3">
      <c r="A3025" s="2"/>
      <c r="F3025" s="3"/>
      <c r="G3025" s="3"/>
      <c r="N3025" s="3"/>
      <c r="Q3025" s="3"/>
      <c r="R3025" s="3"/>
      <c r="S3025" s="3"/>
      <c r="V3025" s="3"/>
      <c r="W3025" s="3"/>
      <c r="X3025" s="3"/>
      <c r="Y3025" s="3"/>
      <c r="Z3025" s="3"/>
      <c r="AA3025" s="3"/>
      <c r="AB3025" s="3"/>
    </row>
    <row r="3026" spans="1:28" x14ac:dyDescent="0.3">
      <c r="A3026" s="2"/>
      <c r="F3026" s="3"/>
      <c r="G3026" s="3"/>
      <c r="N3026" s="3"/>
      <c r="Q3026" s="3"/>
      <c r="R3026" s="3"/>
      <c r="S3026" s="3"/>
      <c r="V3026" s="3"/>
      <c r="W3026" s="3"/>
      <c r="X3026" s="3"/>
      <c r="Y3026" s="3"/>
      <c r="Z3026" s="3"/>
      <c r="AA3026" s="3"/>
      <c r="AB3026" s="3"/>
    </row>
    <row r="3027" spans="1:28" x14ac:dyDescent="0.3">
      <c r="A3027" s="2"/>
      <c r="F3027" s="3"/>
      <c r="G3027" s="3"/>
      <c r="N3027" s="3"/>
      <c r="Q3027" s="3"/>
      <c r="R3027" s="3"/>
      <c r="S3027" s="3"/>
      <c r="V3027" s="3"/>
      <c r="W3027" s="3"/>
      <c r="X3027" s="3"/>
      <c r="Y3027" s="3"/>
      <c r="Z3027" s="3"/>
      <c r="AA3027" s="3"/>
      <c r="AB3027" s="3"/>
    </row>
    <row r="3028" spans="1:28" x14ac:dyDescent="0.3">
      <c r="A3028" s="2"/>
      <c r="F3028" s="3"/>
      <c r="G3028" s="3"/>
      <c r="N3028" s="3"/>
      <c r="Q3028" s="3"/>
      <c r="R3028" s="3"/>
      <c r="S3028" s="3"/>
      <c r="V3028" s="3"/>
      <c r="W3028" s="3"/>
      <c r="X3028" s="3"/>
      <c r="Y3028" s="3"/>
      <c r="Z3028" s="3"/>
      <c r="AA3028" s="3"/>
      <c r="AB3028" s="3"/>
    </row>
    <row r="3029" spans="1:28" x14ac:dyDescent="0.3">
      <c r="A3029" s="2"/>
      <c r="F3029" s="3"/>
      <c r="G3029" s="3"/>
      <c r="N3029" s="3"/>
      <c r="Q3029" s="3"/>
      <c r="R3029" s="3"/>
      <c r="S3029" s="3"/>
      <c r="V3029" s="3"/>
      <c r="W3029" s="3"/>
      <c r="X3029" s="3"/>
      <c r="Y3029" s="3"/>
      <c r="Z3029" s="3"/>
      <c r="AA3029" s="3"/>
      <c r="AB3029" s="3"/>
    </row>
    <row r="3030" spans="1:28" x14ac:dyDescent="0.3">
      <c r="A3030" s="2"/>
      <c r="F3030" s="3"/>
      <c r="G3030" s="3"/>
      <c r="N3030" s="3"/>
      <c r="Q3030" s="3"/>
      <c r="R3030" s="3"/>
      <c r="S3030" s="3"/>
      <c r="V3030" s="3"/>
      <c r="W3030" s="3"/>
      <c r="X3030" s="3"/>
      <c r="Y3030" s="3"/>
      <c r="Z3030" s="3"/>
      <c r="AA3030" s="3"/>
      <c r="AB3030" s="3"/>
    </row>
    <row r="3031" spans="1:28" x14ac:dyDescent="0.3">
      <c r="A3031" s="2"/>
      <c r="F3031" s="3"/>
      <c r="G3031" s="3"/>
      <c r="N3031" s="3"/>
      <c r="Q3031" s="3"/>
      <c r="R3031" s="3"/>
      <c r="S3031" s="3"/>
      <c r="V3031" s="3"/>
      <c r="W3031" s="3"/>
      <c r="X3031" s="3"/>
      <c r="Y3031" s="3"/>
      <c r="Z3031" s="3"/>
      <c r="AA3031" s="3"/>
      <c r="AB3031" s="3"/>
    </row>
    <row r="3032" spans="1:28" x14ac:dyDescent="0.3">
      <c r="A3032" s="2"/>
      <c r="F3032" s="3"/>
      <c r="G3032" s="3"/>
      <c r="N3032" s="3"/>
      <c r="Q3032" s="3"/>
      <c r="R3032" s="3"/>
      <c r="S3032" s="3"/>
      <c r="V3032" s="3"/>
      <c r="W3032" s="3"/>
      <c r="X3032" s="3"/>
      <c r="Y3032" s="3"/>
      <c r="Z3032" s="3"/>
      <c r="AA3032" s="3"/>
      <c r="AB3032" s="3"/>
    </row>
    <row r="3033" spans="1:28" x14ac:dyDescent="0.3">
      <c r="A3033" s="2"/>
      <c r="F3033" s="3"/>
      <c r="G3033" s="3"/>
      <c r="N3033" s="3"/>
      <c r="Q3033" s="3"/>
      <c r="R3033" s="3"/>
      <c r="S3033" s="3"/>
      <c r="V3033" s="3"/>
      <c r="W3033" s="3"/>
      <c r="X3033" s="3"/>
      <c r="Y3033" s="3"/>
      <c r="Z3033" s="3"/>
      <c r="AA3033" s="3"/>
      <c r="AB3033" s="3"/>
    </row>
    <row r="3034" spans="1:28" x14ac:dyDescent="0.3">
      <c r="A3034" s="2"/>
      <c r="F3034" s="3"/>
      <c r="G3034" s="3"/>
      <c r="N3034" s="3"/>
      <c r="Q3034" s="3"/>
      <c r="R3034" s="3"/>
      <c r="S3034" s="3"/>
      <c r="V3034" s="3"/>
      <c r="W3034" s="3"/>
      <c r="X3034" s="3"/>
      <c r="Y3034" s="3"/>
      <c r="Z3034" s="3"/>
      <c r="AA3034" s="3"/>
      <c r="AB3034" s="3"/>
    </row>
    <row r="3035" spans="1:28" x14ac:dyDescent="0.3">
      <c r="A3035" s="2"/>
      <c r="F3035" s="3"/>
      <c r="G3035" s="3"/>
      <c r="N3035" s="3"/>
      <c r="Q3035" s="3"/>
      <c r="R3035" s="3"/>
      <c r="S3035" s="3"/>
      <c r="V3035" s="3"/>
      <c r="W3035" s="3"/>
      <c r="X3035" s="3"/>
      <c r="Y3035" s="3"/>
      <c r="Z3035" s="3"/>
      <c r="AA3035" s="3"/>
      <c r="AB3035" s="3"/>
    </row>
    <row r="3036" spans="1:28" x14ac:dyDescent="0.3">
      <c r="A3036" s="2"/>
      <c r="F3036" s="3"/>
      <c r="G3036" s="3"/>
      <c r="N3036" s="3"/>
      <c r="Q3036" s="3"/>
      <c r="R3036" s="3"/>
      <c r="S3036" s="3"/>
      <c r="V3036" s="3"/>
      <c r="W3036" s="3"/>
      <c r="X3036" s="3"/>
      <c r="Y3036" s="3"/>
      <c r="Z3036" s="3"/>
      <c r="AA3036" s="3"/>
      <c r="AB3036" s="3"/>
    </row>
    <row r="3037" spans="1:28" x14ac:dyDescent="0.3">
      <c r="A3037" s="2"/>
      <c r="F3037" s="3"/>
      <c r="G3037" s="3"/>
      <c r="N3037" s="3"/>
      <c r="Q3037" s="3"/>
      <c r="R3037" s="3"/>
      <c r="S3037" s="3"/>
      <c r="V3037" s="3"/>
      <c r="W3037" s="3"/>
      <c r="X3037" s="3"/>
      <c r="Y3037" s="3"/>
      <c r="Z3037" s="3"/>
      <c r="AA3037" s="3"/>
      <c r="AB3037" s="3"/>
    </row>
    <row r="3038" spans="1:28" x14ac:dyDescent="0.3">
      <c r="A3038" s="2"/>
      <c r="F3038" s="3"/>
      <c r="G3038" s="3"/>
      <c r="N3038" s="3"/>
      <c r="Q3038" s="3"/>
      <c r="R3038" s="3"/>
      <c r="S3038" s="3"/>
      <c r="V3038" s="3"/>
      <c r="W3038" s="3"/>
      <c r="X3038" s="3"/>
      <c r="Y3038" s="3"/>
      <c r="Z3038" s="3"/>
      <c r="AA3038" s="3"/>
      <c r="AB3038" s="3"/>
    </row>
    <row r="3039" spans="1:28" x14ac:dyDescent="0.3">
      <c r="A3039" s="2"/>
      <c r="F3039" s="3"/>
      <c r="G3039" s="3"/>
      <c r="N3039" s="3"/>
      <c r="Q3039" s="3"/>
      <c r="R3039" s="3"/>
      <c r="S3039" s="3"/>
      <c r="V3039" s="3"/>
      <c r="W3039" s="3"/>
      <c r="X3039" s="3"/>
      <c r="Y3039" s="3"/>
      <c r="Z3039" s="3"/>
      <c r="AA3039" s="3"/>
      <c r="AB3039" s="3"/>
    </row>
    <row r="3040" spans="1:28" x14ac:dyDescent="0.3">
      <c r="A3040" s="2"/>
      <c r="F3040" s="3"/>
      <c r="G3040" s="3"/>
      <c r="N3040" s="3"/>
      <c r="Q3040" s="3"/>
      <c r="R3040" s="3"/>
      <c r="S3040" s="3"/>
      <c r="V3040" s="3"/>
      <c r="W3040" s="3"/>
      <c r="X3040" s="3"/>
      <c r="Y3040" s="3"/>
      <c r="Z3040" s="3"/>
      <c r="AA3040" s="3"/>
      <c r="AB3040" s="3"/>
    </row>
    <row r="3041" spans="1:28" x14ac:dyDescent="0.3">
      <c r="A3041" s="2"/>
      <c r="F3041" s="3"/>
      <c r="G3041" s="3"/>
      <c r="N3041" s="3"/>
      <c r="Q3041" s="3"/>
      <c r="R3041" s="3"/>
      <c r="S3041" s="3"/>
      <c r="V3041" s="3"/>
      <c r="W3041" s="3"/>
      <c r="X3041" s="3"/>
      <c r="Y3041" s="3"/>
      <c r="Z3041" s="3"/>
      <c r="AA3041" s="3"/>
      <c r="AB3041" s="3"/>
    </row>
    <row r="3042" spans="1:28" x14ac:dyDescent="0.3">
      <c r="A3042" s="2"/>
      <c r="F3042" s="3"/>
      <c r="G3042" s="3"/>
      <c r="N3042" s="3"/>
      <c r="Q3042" s="3"/>
      <c r="R3042" s="3"/>
      <c r="S3042" s="3"/>
      <c r="V3042" s="3"/>
      <c r="W3042" s="3"/>
      <c r="X3042" s="3"/>
      <c r="Y3042" s="3"/>
      <c r="Z3042" s="3"/>
      <c r="AA3042" s="3"/>
      <c r="AB3042" s="3"/>
    </row>
    <row r="3043" spans="1:28" x14ac:dyDescent="0.3">
      <c r="A3043" s="2"/>
      <c r="F3043" s="3"/>
      <c r="G3043" s="3"/>
      <c r="N3043" s="3"/>
      <c r="Q3043" s="3"/>
      <c r="R3043" s="3"/>
      <c r="S3043" s="3"/>
      <c r="V3043" s="3"/>
      <c r="W3043" s="3"/>
      <c r="X3043" s="3"/>
      <c r="Y3043" s="3"/>
      <c r="Z3043" s="3"/>
      <c r="AA3043" s="3"/>
      <c r="AB3043" s="3"/>
    </row>
    <row r="3044" spans="1:28" x14ac:dyDescent="0.3">
      <c r="A3044" s="2"/>
      <c r="F3044" s="3"/>
      <c r="G3044" s="3"/>
      <c r="N3044" s="3"/>
      <c r="Q3044" s="3"/>
      <c r="R3044" s="3"/>
      <c r="S3044" s="3"/>
      <c r="V3044" s="3"/>
      <c r="W3044" s="3"/>
      <c r="X3044" s="3"/>
      <c r="Y3044" s="3"/>
      <c r="Z3044" s="3"/>
      <c r="AA3044" s="3"/>
      <c r="AB3044" s="3"/>
    </row>
    <row r="3045" spans="1:28" x14ac:dyDescent="0.3">
      <c r="A3045" s="2"/>
      <c r="F3045" s="3"/>
      <c r="G3045" s="3"/>
      <c r="N3045" s="3"/>
      <c r="Q3045" s="3"/>
      <c r="R3045" s="3"/>
      <c r="S3045" s="3"/>
      <c r="V3045" s="3"/>
      <c r="W3045" s="3"/>
      <c r="X3045" s="3"/>
      <c r="Y3045" s="3"/>
      <c r="Z3045" s="3"/>
      <c r="AA3045" s="3"/>
      <c r="AB3045" s="3"/>
    </row>
    <row r="3046" spans="1:28" x14ac:dyDescent="0.3">
      <c r="A3046" s="2"/>
      <c r="F3046" s="3"/>
      <c r="G3046" s="3"/>
      <c r="N3046" s="3"/>
      <c r="Q3046" s="3"/>
      <c r="R3046" s="3"/>
      <c r="S3046" s="3"/>
      <c r="V3046" s="3"/>
      <c r="W3046" s="3"/>
      <c r="X3046" s="3"/>
      <c r="Y3046" s="3"/>
      <c r="Z3046" s="3"/>
      <c r="AA3046" s="3"/>
      <c r="AB3046" s="3"/>
    </row>
    <row r="3047" spans="1:28" x14ac:dyDescent="0.3">
      <c r="A3047" s="2"/>
      <c r="F3047" s="3"/>
      <c r="G3047" s="3"/>
      <c r="N3047" s="3"/>
      <c r="Q3047" s="3"/>
      <c r="R3047" s="3"/>
      <c r="S3047" s="3"/>
      <c r="V3047" s="3"/>
      <c r="W3047" s="3"/>
      <c r="X3047" s="3"/>
      <c r="Y3047" s="3"/>
      <c r="Z3047" s="3"/>
      <c r="AA3047" s="3"/>
      <c r="AB3047" s="3"/>
    </row>
    <row r="3048" spans="1:28" x14ac:dyDescent="0.3">
      <c r="A3048" s="2"/>
      <c r="F3048" s="3"/>
      <c r="G3048" s="3"/>
      <c r="N3048" s="3"/>
      <c r="Q3048" s="3"/>
      <c r="R3048" s="3"/>
      <c r="S3048" s="3"/>
      <c r="V3048" s="3"/>
      <c r="W3048" s="3"/>
      <c r="X3048" s="3"/>
      <c r="Y3048" s="3"/>
      <c r="Z3048" s="3"/>
      <c r="AA3048" s="3"/>
      <c r="AB3048" s="3"/>
    </row>
    <row r="3049" spans="1:28" x14ac:dyDescent="0.3">
      <c r="A3049" s="2"/>
      <c r="F3049" s="3"/>
      <c r="G3049" s="3"/>
      <c r="N3049" s="3"/>
      <c r="Q3049" s="3"/>
      <c r="R3049" s="3"/>
      <c r="S3049" s="3"/>
      <c r="V3049" s="3"/>
      <c r="W3049" s="3"/>
      <c r="X3049" s="3"/>
      <c r="Y3049" s="3"/>
      <c r="Z3049" s="3"/>
      <c r="AA3049" s="3"/>
      <c r="AB3049" s="3"/>
    </row>
    <row r="3050" spans="1:28" x14ac:dyDescent="0.3">
      <c r="A3050" s="2"/>
      <c r="F3050" s="3"/>
      <c r="G3050" s="3"/>
      <c r="N3050" s="3"/>
      <c r="Q3050" s="3"/>
      <c r="R3050" s="3"/>
      <c r="S3050" s="3"/>
      <c r="V3050" s="3"/>
      <c r="W3050" s="3"/>
      <c r="X3050" s="3"/>
      <c r="Y3050" s="3"/>
      <c r="Z3050" s="3"/>
      <c r="AA3050" s="3"/>
      <c r="AB3050" s="3"/>
    </row>
    <row r="3051" spans="1:28" x14ac:dyDescent="0.3">
      <c r="A3051" s="2"/>
      <c r="F3051" s="3"/>
      <c r="G3051" s="3"/>
      <c r="N3051" s="3"/>
      <c r="Q3051" s="3"/>
      <c r="R3051" s="3"/>
      <c r="S3051" s="3"/>
      <c r="V3051" s="3"/>
      <c r="W3051" s="3"/>
      <c r="X3051" s="3"/>
      <c r="Y3051" s="3"/>
      <c r="Z3051" s="3"/>
      <c r="AA3051" s="3"/>
      <c r="AB3051" s="3"/>
    </row>
    <row r="3052" spans="1:28" x14ac:dyDescent="0.3">
      <c r="A3052" s="2"/>
      <c r="F3052" s="3"/>
      <c r="G3052" s="3"/>
      <c r="N3052" s="3"/>
      <c r="Q3052" s="3"/>
      <c r="R3052" s="3"/>
      <c r="S3052" s="3"/>
      <c r="V3052" s="3"/>
      <c r="W3052" s="3"/>
      <c r="X3052" s="3"/>
      <c r="Y3052" s="3"/>
      <c r="Z3052" s="3"/>
      <c r="AA3052" s="3"/>
      <c r="AB3052" s="3"/>
    </row>
    <row r="3053" spans="1:28" x14ac:dyDescent="0.3">
      <c r="A3053" s="2"/>
      <c r="F3053" s="3"/>
      <c r="G3053" s="3"/>
      <c r="N3053" s="3"/>
      <c r="Q3053" s="3"/>
      <c r="R3053" s="3"/>
      <c r="S3053" s="3"/>
      <c r="V3053" s="3"/>
      <c r="W3053" s="3"/>
      <c r="X3053" s="3"/>
      <c r="Y3053" s="3"/>
      <c r="Z3053" s="3"/>
      <c r="AA3053" s="3"/>
      <c r="AB3053" s="3"/>
    </row>
    <row r="3054" spans="1:28" x14ac:dyDescent="0.3">
      <c r="A3054" s="2"/>
      <c r="F3054" s="3"/>
      <c r="G3054" s="3"/>
      <c r="N3054" s="3"/>
      <c r="Q3054" s="3"/>
      <c r="R3054" s="3"/>
      <c r="S3054" s="3"/>
      <c r="V3054" s="3"/>
      <c r="W3054" s="3"/>
      <c r="X3054" s="3"/>
      <c r="Y3054" s="3"/>
      <c r="Z3054" s="3"/>
      <c r="AA3054" s="3"/>
      <c r="AB3054" s="3"/>
    </row>
    <row r="3055" spans="1:28" x14ac:dyDescent="0.3">
      <c r="A3055" s="2"/>
      <c r="F3055" s="3"/>
      <c r="G3055" s="3"/>
      <c r="N3055" s="3"/>
      <c r="Q3055" s="3"/>
      <c r="R3055" s="3"/>
      <c r="S3055" s="3"/>
      <c r="V3055" s="3"/>
      <c r="W3055" s="3"/>
      <c r="X3055" s="3"/>
      <c r="Y3055" s="3"/>
      <c r="Z3055" s="3"/>
      <c r="AA3055" s="3"/>
      <c r="AB3055" s="3"/>
    </row>
    <row r="3056" spans="1:28" x14ac:dyDescent="0.3">
      <c r="A3056" s="2"/>
      <c r="F3056" s="3"/>
      <c r="G3056" s="3"/>
      <c r="N3056" s="3"/>
      <c r="Q3056" s="3"/>
      <c r="R3056" s="3"/>
      <c r="S3056" s="3"/>
      <c r="V3056" s="3"/>
      <c r="W3056" s="3"/>
      <c r="X3056" s="3"/>
      <c r="Y3056" s="3"/>
      <c r="Z3056" s="3"/>
      <c r="AA3056" s="3"/>
      <c r="AB3056" s="3"/>
    </row>
    <row r="3057" spans="1:28" x14ac:dyDescent="0.3">
      <c r="A3057" s="2"/>
      <c r="F3057" s="3"/>
      <c r="G3057" s="3"/>
      <c r="N3057" s="3"/>
      <c r="Q3057" s="3"/>
      <c r="R3057" s="3"/>
      <c r="S3057" s="3"/>
      <c r="V3057" s="3"/>
      <c r="W3057" s="3"/>
      <c r="X3057" s="3"/>
      <c r="Y3057" s="3"/>
      <c r="Z3057" s="3"/>
      <c r="AA3057" s="3"/>
      <c r="AB3057" s="3"/>
    </row>
    <row r="3058" spans="1:28" x14ac:dyDescent="0.3">
      <c r="A3058" s="2"/>
      <c r="F3058" s="3"/>
      <c r="G3058" s="3"/>
      <c r="N3058" s="3"/>
      <c r="Q3058" s="3"/>
      <c r="R3058" s="3"/>
      <c r="S3058" s="3"/>
      <c r="V3058" s="3"/>
      <c r="W3058" s="3"/>
      <c r="X3058" s="3"/>
      <c r="Y3058" s="3"/>
      <c r="Z3058" s="3"/>
      <c r="AA3058" s="3"/>
      <c r="AB3058" s="3"/>
    </row>
    <row r="3059" spans="1:28" x14ac:dyDescent="0.3">
      <c r="A3059" s="2"/>
      <c r="F3059" s="3"/>
      <c r="G3059" s="3"/>
      <c r="N3059" s="3"/>
      <c r="Q3059" s="3"/>
      <c r="R3059" s="3"/>
      <c r="S3059" s="3"/>
      <c r="V3059" s="3"/>
      <c r="W3059" s="3"/>
      <c r="X3059" s="3"/>
      <c r="Y3059" s="3"/>
      <c r="Z3059" s="3"/>
      <c r="AA3059" s="3"/>
      <c r="AB3059" s="3"/>
    </row>
    <row r="3060" spans="1:28" x14ac:dyDescent="0.3">
      <c r="A3060" s="2"/>
      <c r="F3060" s="3"/>
      <c r="G3060" s="3"/>
      <c r="N3060" s="3"/>
      <c r="Q3060" s="3"/>
      <c r="R3060" s="3"/>
      <c r="S3060" s="3"/>
      <c r="V3060" s="3"/>
      <c r="W3060" s="3"/>
      <c r="X3060" s="3"/>
      <c r="Y3060" s="3"/>
      <c r="Z3060" s="3"/>
      <c r="AA3060" s="3"/>
      <c r="AB3060" s="3"/>
    </row>
    <row r="3061" spans="1:28" x14ac:dyDescent="0.3">
      <c r="A3061" s="2"/>
      <c r="F3061" s="3"/>
      <c r="G3061" s="3"/>
      <c r="N3061" s="3"/>
      <c r="Q3061" s="3"/>
      <c r="R3061" s="3"/>
      <c r="S3061" s="3"/>
      <c r="V3061" s="3"/>
      <c r="W3061" s="3"/>
      <c r="X3061" s="3"/>
      <c r="Y3061" s="3"/>
      <c r="Z3061" s="3"/>
      <c r="AA3061" s="3"/>
      <c r="AB3061" s="3"/>
    </row>
    <row r="3062" spans="1:28" x14ac:dyDescent="0.3">
      <c r="A3062" s="2"/>
      <c r="F3062" s="3"/>
      <c r="G3062" s="3"/>
      <c r="N3062" s="3"/>
      <c r="Q3062" s="3"/>
      <c r="R3062" s="3"/>
      <c r="S3062" s="3"/>
      <c r="V3062" s="3"/>
      <c r="W3062" s="3"/>
      <c r="X3062" s="3"/>
      <c r="Y3062" s="3"/>
      <c r="Z3062" s="3"/>
      <c r="AA3062" s="3"/>
      <c r="AB3062" s="3"/>
    </row>
    <row r="3063" spans="1:28" x14ac:dyDescent="0.3">
      <c r="A3063" s="2"/>
      <c r="F3063" s="3"/>
      <c r="G3063" s="3"/>
      <c r="N3063" s="3"/>
      <c r="Q3063" s="3"/>
      <c r="R3063" s="3"/>
      <c r="S3063" s="3"/>
      <c r="V3063" s="3"/>
      <c r="W3063" s="3"/>
      <c r="X3063" s="3"/>
      <c r="Y3063" s="3"/>
      <c r="Z3063" s="3"/>
      <c r="AA3063" s="3"/>
      <c r="AB3063" s="3"/>
    </row>
    <row r="3064" spans="1:28" x14ac:dyDescent="0.3">
      <c r="A3064" s="2"/>
      <c r="F3064" s="3"/>
      <c r="G3064" s="3"/>
      <c r="N3064" s="3"/>
      <c r="Q3064" s="3"/>
      <c r="R3064" s="3"/>
      <c r="S3064" s="3"/>
      <c r="V3064" s="3"/>
      <c r="W3064" s="3"/>
      <c r="X3064" s="3"/>
      <c r="Y3064" s="3"/>
      <c r="Z3064" s="3"/>
      <c r="AA3064" s="3"/>
      <c r="AB3064" s="3"/>
    </row>
    <row r="3065" spans="1:28" x14ac:dyDescent="0.3">
      <c r="A3065" s="2"/>
      <c r="F3065" s="3"/>
      <c r="G3065" s="3"/>
      <c r="N3065" s="3"/>
      <c r="Q3065" s="3"/>
      <c r="R3065" s="3"/>
      <c r="S3065" s="3"/>
      <c r="V3065" s="3"/>
      <c r="W3065" s="3"/>
      <c r="X3065" s="3"/>
      <c r="Y3065" s="3"/>
      <c r="Z3065" s="3"/>
      <c r="AA3065" s="3"/>
      <c r="AB3065" s="3"/>
    </row>
    <row r="3066" spans="1:28" x14ac:dyDescent="0.3">
      <c r="A3066" s="2"/>
      <c r="F3066" s="3"/>
      <c r="G3066" s="3"/>
      <c r="N3066" s="3"/>
      <c r="Q3066" s="3"/>
      <c r="R3066" s="3"/>
      <c r="S3066" s="3"/>
      <c r="V3066" s="3"/>
      <c r="W3066" s="3"/>
      <c r="X3066" s="3"/>
      <c r="Y3066" s="3"/>
      <c r="Z3066" s="3"/>
      <c r="AA3066" s="3"/>
      <c r="AB3066" s="3"/>
    </row>
    <row r="3067" spans="1:28" x14ac:dyDescent="0.3">
      <c r="A3067" s="2"/>
      <c r="F3067" s="3"/>
      <c r="G3067" s="3"/>
      <c r="N3067" s="3"/>
      <c r="Q3067" s="3"/>
      <c r="R3067" s="3"/>
      <c r="S3067" s="3"/>
      <c r="V3067" s="3"/>
      <c r="W3067" s="3"/>
      <c r="X3067" s="3"/>
      <c r="Y3067" s="3"/>
      <c r="Z3067" s="3"/>
      <c r="AA3067" s="3"/>
      <c r="AB3067" s="3"/>
    </row>
    <row r="3068" spans="1:28" x14ac:dyDescent="0.3">
      <c r="A3068" s="2"/>
      <c r="F3068" s="3"/>
      <c r="G3068" s="3"/>
      <c r="N3068" s="3"/>
      <c r="Q3068" s="3"/>
      <c r="R3068" s="3"/>
      <c r="S3068" s="3"/>
      <c r="V3068" s="3"/>
      <c r="W3068" s="3"/>
      <c r="X3068" s="3"/>
      <c r="Y3068" s="3"/>
      <c r="Z3068" s="3"/>
      <c r="AA3068" s="3"/>
      <c r="AB3068" s="3"/>
    </row>
    <row r="3069" spans="1:28" x14ac:dyDescent="0.3">
      <c r="A3069" s="2"/>
      <c r="F3069" s="3"/>
      <c r="G3069" s="3"/>
      <c r="N3069" s="3"/>
      <c r="Q3069" s="3"/>
      <c r="R3069" s="3"/>
      <c r="S3069" s="3"/>
      <c r="V3069" s="3"/>
      <c r="W3069" s="3"/>
      <c r="X3069" s="3"/>
      <c r="Y3069" s="3"/>
      <c r="Z3069" s="3"/>
      <c r="AA3069" s="3"/>
      <c r="AB3069" s="3"/>
    </row>
    <row r="3070" spans="1:28" x14ac:dyDescent="0.3">
      <c r="A3070" s="2"/>
      <c r="F3070" s="3"/>
      <c r="G3070" s="3"/>
      <c r="N3070" s="3"/>
      <c r="Q3070" s="3"/>
      <c r="R3070" s="3"/>
      <c r="S3070" s="3"/>
      <c r="V3070" s="3"/>
      <c r="W3070" s="3"/>
      <c r="X3070" s="3"/>
      <c r="Y3070" s="3"/>
      <c r="Z3070" s="3"/>
      <c r="AA3070" s="3"/>
      <c r="AB3070" s="3"/>
    </row>
    <row r="3071" spans="1:28" x14ac:dyDescent="0.3">
      <c r="A3071" s="2"/>
      <c r="F3071" s="3"/>
      <c r="G3071" s="3"/>
      <c r="N3071" s="3"/>
      <c r="Q3071" s="3"/>
      <c r="R3071" s="3"/>
      <c r="S3071" s="3"/>
      <c r="V3071" s="3"/>
      <c r="W3071" s="3"/>
      <c r="X3071" s="3"/>
      <c r="Y3071" s="3"/>
      <c r="Z3071" s="3"/>
      <c r="AA3071" s="3"/>
      <c r="AB3071" s="3"/>
    </row>
    <row r="3072" spans="1:28" x14ac:dyDescent="0.3">
      <c r="A3072" s="2"/>
      <c r="F3072" s="3"/>
      <c r="G3072" s="3"/>
      <c r="N3072" s="3"/>
      <c r="Q3072" s="3"/>
      <c r="R3072" s="3"/>
      <c r="S3072" s="3"/>
      <c r="V3072" s="3"/>
      <c r="W3072" s="3"/>
      <c r="X3072" s="3"/>
      <c r="Y3072" s="3"/>
      <c r="Z3072" s="3"/>
      <c r="AA3072" s="3"/>
      <c r="AB3072" s="3"/>
    </row>
    <row r="3073" spans="1:28" x14ac:dyDescent="0.3">
      <c r="A3073" s="2"/>
      <c r="F3073" s="3"/>
      <c r="G3073" s="3"/>
      <c r="N3073" s="3"/>
      <c r="Q3073" s="3"/>
      <c r="R3073" s="3"/>
      <c r="S3073" s="3"/>
      <c r="V3073" s="3"/>
      <c r="W3073" s="3"/>
      <c r="X3073" s="3"/>
      <c r="Y3073" s="3"/>
      <c r="Z3073" s="3"/>
      <c r="AA3073" s="3"/>
      <c r="AB3073" s="3"/>
    </row>
    <row r="3074" spans="1:28" x14ac:dyDescent="0.3">
      <c r="A3074" s="2"/>
      <c r="F3074" s="3"/>
      <c r="G3074" s="3"/>
      <c r="N3074" s="3"/>
      <c r="Q3074" s="3"/>
      <c r="R3074" s="3"/>
      <c r="S3074" s="3"/>
      <c r="V3074" s="3"/>
      <c r="W3074" s="3"/>
      <c r="X3074" s="3"/>
      <c r="Y3074" s="3"/>
      <c r="Z3074" s="3"/>
      <c r="AA3074" s="3"/>
      <c r="AB3074" s="3"/>
    </row>
    <row r="3075" spans="1:28" x14ac:dyDescent="0.3">
      <c r="A3075" s="2"/>
      <c r="F3075" s="3"/>
      <c r="G3075" s="3"/>
      <c r="N3075" s="3"/>
      <c r="Q3075" s="3"/>
      <c r="R3075" s="3"/>
      <c r="S3075" s="3"/>
      <c r="V3075" s="3"/>
      <c r="W3075" s="3"/>
      <c r="X3075" s="3"/>
      <c r="Y3075" s="3"/>
      <c r="Z3075" s="3"/>
      <c r="AA3075" s="3"/>
      <c r="AB3075" s="3"/>
    </row>
    <row r="3076" spans="1:28" x14ac:dyDescent="0.3">
      <c r="A3076" s="2"/>
      <c r="F3076" s="3"/>
      <c r="G3076" s="3"/>
      <c r="N3076" s="3"/>
      <c r="Q3076" s="3"/>
      <c r="R3076" s="3"/>
      <c r="S3076" s="3"/>
      <c r="V3076" s="3"/>
      <c r="W3076" s="3"/>
      <c r="X3076" s="3"/>
      <c r="Y3076" s="3"/>
      <c r="Z3076" s="3"/>
      <c r="AA3076" s="3"/>
      <c r="AB3076" s="3"/>
    </row>
    <row r="3077" spans="1:28" x14ac:dyDescent="0.3">
      <c r="A3077" s="2"/>
      <c r="F3077" s="3"/>
      <c r="G3077" s="3"/>
      <c r="N3077" s="3"/>
      <c r="Q3077" s="3"/>
      <c r="R3077" s="3"/>
      <c r="S3077" s="3"/>
      <c r="V3077" s="3"/>
      <c r="W3077" s="3"/>
      <c r="X3077" s="3"/>
      <c r="Y3077" s="3"/>
      <c r="Z3077" s="3"/>
      <c r="AA3077" s="3"/>
      <c r="AB3077" s="3"/>
    </row>
    <row r="3078" spans="1:28" x14ac:dyDescent="0.3">
      <c r="A3078" s="2"/>
      <c r="F3078" s="3"/>
      <c r="G3078" s="3"/>
      <c r="N3078" s="3"/>
      <c r="Q3078" s="3"/>
      <c r="R3078" s="3"/>
      <c r="S3078" s="3"/>
      <c r="V3078" s="3"/>
      <c r="W3078" s="3"/>
      <c r="X3078" s="3"/>
      <c r="Y3078" s="3"/>
      <c r="Z3078" s="3"/>
      <c r="AA3078" s="3"/>
      <c r="AB3078" s="3"/>
    </row>
    <row r="3079" spans="1:28" x14ac:dyDescent="0.3">
      <c r="A3079" s="2"/>
      <c r="F3079" s="3"/>
      <c r="G3079" s="3"/>
      <c r="N3079" s="3"/>
      <c r="Q3079" s="3"/>
      <c r="R3079" s="3"/>
      <c r="S3079" s="3"/>
      <c r="V3079" s="3"/>
      <c r="W3079" s="3"/>
      <c r="X3079" s="3"/>
      <c r="Y3079" s="3"/>
      <c r="Z3079" s="3"/>
      <c r="AA3079" s="3"/>
      <c r="AB3079" s="3"/>
    </row>
    <row r="3080" spans="1:28" x14ac:dyDescent="0.3">
      <c r="A3080" s="2"/>
      <c r="F3080" s="3"/>
      <c r="G3080" s="3"/>
      <c r="N3080" s="3"/>
      <c r="Q3080" s="3"/>
      <c r="R3080" s="3"/>
      <c r="S3080" s="3"/>
      <c r="V3080" s="3"/>
      <c r="W3080" s="3"/>
      <c r="X3080" s="3"/>
      <c r="Y3080" s="3"/>
      <c r="Z3080" s="3"/>
      <c r="AA3080" s="3"/>
      <c r="AB3080" s="3"/>
    </row>
    <row r="3081" spans="1:28" x14ac:dyDescent="0.3">
      <c r="A3081" s="2"/>
      <c r="F3081" s="3"/>
      <c r="G3081" s="3"/>
      <c r="N3081" s="3"/>
      <c r="Q3081" s="3"/>
      <c r="R3081" s="3"/>
      <c r="S3081" s="3"/>
      <c r="V3081" s="3"/>
      <c r="W3081" s="3"/>
      <c r="X3081" s="3"/>
      <c r="Y3081" s="3"/>
      <c r="Z3081" s="3"/>
      <c r="AA3081" s="3"/>
      <c r="AB3081" s="3"/>
    </row>
    <row r="3082" spans="1:28" x14ac:dyDescent="0.3">
      <c r="A3082" s="2"/>
      <c r="F3082" s="3"/>
      <c r="G3082" s="3"/>
      <c r="N3082" s="3"/>
      <c r="Q3082" s="3"/>
      <c r="R3082" s="3"/>
      <c r="S3082" s="3"/>
      <c r="V3082" s="3"/>
      <c r="W3082" s="3"/>
      <c r="X3082" s="3"/>
      <c r="Y3082" s="3"/>
      <c r="Z3082" s="3"/>
      <c r="AA3082" s="3"/>
      <c r="AB3082" s="3"/>
    </row>
    <row r="3083" spans="1:28" x14ac:dyDescent="0.3">
      <c r="A3083" s="2"/>
      <c r="F3083" s="3"/>
      <c r="G3083" s="3"/>
      <c r="N3083" s="3"/>
      <c r="Q3083" s="3"/>
      <c r="R3083" s="3"/>
      <c r="S3083" s="3"/>
      <c r="V3083" s="3"/>
      <c r="W3083" s="3"/>
      <c r="X3083" s="3"/>
      <c r="Y3083" s="3"/>
      <c r="Z3083" s="3"/>
      <c r="AA3083" s="3"/>
      <c r="AB3083" s="3"/>
    </row>
    <row r="3084" spans="1:28" x14ac:dyDescent="0.3">
      <c r="A3084" s="2"/>
      <c r="F3084" s="3"/>
      <c r="G3084" s="3"/>
      <c r="N3084" s="3"/>
      <c r="Q3084" s="3"/>
      <c r="R3084" s="3"/>
      <c r="S3084" s="3"/>
      <c r="V3084" s="3"/>
      <c r="W3084" s="3"/>
      <c r="X3084" s="3"/>
      <c r="Y3084" s="3"/>
      <c r="Z3084" s="3"/>
      <c r="AA3084" s="3"/>
      <c r="AB3084" s="3"/>
    </row>
    <row r="3085" spans="1:28" x14ac:dyDescent="0.3">
      <c r="A3085" s="2"/>
      <c r="F3085" s="3"/>
      <c r="G3085" s="3"/>
      <c r="N3085" s="3"/>
      <c r="Q3085" s="3"/>
      <c r="R3085" s="3"/>
      <c r="S3085" s="3"/>
      <c r="V3085" s="3"/>
      <c r="W3085" s="3"/>
      <c r="X3085" s="3"/>
      <c r="Y3085" s="3"/>
      <c r="Z3085" s="3"/>
      <c r="AA3085" s="3"/>
      <c r="AB3085" s="3"/>
    </row>
    <row r="3086" spans="1:28" x14ac:dyDescent="0.3">
      <c r="A3086" s="2"/>
      <c r="F3086" s="3"/>
      <c r="G3086" s="3"/>
      <c r="N3086" s="3"/>
      <c r="Q3086" s="3"/>
      <c r="R3086" s="3"/>
      <c r="S3086" s="3"/>
      <c r="V3086" s="3"/>
      <c r="W3086" s="3"/>
      <c r="X3086" s="3"/>
      <c r="Y3086" s="3"/>
      <c r="Z3086" s="3"/>
      <c r="AA3086" s="3"/>
      <c r="AB3086" s="3"/>
    </row>
    <row r="3087" spans="1:28" x14ac:dyDescent="0.3">
      <c r="A3087" s="2"/>
      <c r="F3087" s="3"/>
      <c r="G3087" s="3"/>
      <c r="N3087" s="3"/>
      <c r="Q3087" s="3"/>
      <c r="R3087" s="3"/>
      <c r="S3087" s="3"/>
      <c r="V3087" s="3"/>
      <c r="W3087" s="3"/>
      <c r="X3087" s="3"/>
      <c r="Y3087" s="3"/>
      <c r="Z3087" s="3"/>
      <c r="AA3087" s="3"/>
      <c r="AB3087" s="3"/>
    </row>
    <row r="3088" spans="1:28" x14ac:dyDescent="0.3">
      <c r="A3088" s="2"/>
      <c r="F3088" s="3"/>
      <c r="G3088" s="3"/>
      <c r="N3088" s="3"/>
      <c r="Q3088" s="3"/>
      <c r="R3088" s="3"/>
      <c r="S3088" s="3"/>
      <c r="V3088" s="3"/>
      <c r="W3088" s="3"/>
      <c r="X3088" s="3"/>
      <c r="Y3088" s="3"/>
      <c r="Z3088" s="3"/>
      <c r="AA3088" s="3"/>
      <c r="AB3088" s="3"/>
    </row>
    <row r="3089" spans="1:28" x14ac:dyDescent="0.3">
      <c r="A3089" s="2"/>
      <c r="F3089" s="3"/>
      <c r="G3089" s="3"/>
      <c r="N3089" s="3"/>
      <c r="Q3089" s="3"/>
      <c r="R3089" s="3"/>
      <c r="S3089" s="3"/>
      <c r="V3089" s="3"/>
      <c r="W3089" s="3"/>
      <c r="X3089" s="3"/>
      <c r="Y3089" s="3"/>
      <c r="Z3089" s="3"/>
      <c r="AA3089" s="3"/>
      <c r="AB3089" s="3"/>
    </row>
    <row r="3090" spans="1:28" x14ac:dyDescent="0.3">
      <c r="A3090" s="2"/>
      <c r="F3090" s="3"/>
      <c r="G3090" s="3"/>
      <c r="N3090" s="3"/>
      <c r="Q3090" s="3"/>
      <c r="R3090" s="3"/>
      <c r="S3090" s="3"/>
      <c r="V3090" s="3"/>
      <c r="W3090" s="3"/>
      <c r="X3090" s="3"/>
      <c r="Y3090" s="3"/>
      <c r="Z3090" s="3"/>
      <c r="AA3090" s="3"/>
      <c r="AB3090" s="3"/>
    </row>
    <row r="3091" spans="1:28" x14ac:dyDescent="0.3">
      <c r="A3091" s="2"/>
      <c r="F3091" s="3"/>
      <c r="G3091" s="3"/>
      <c r="N3091" s="3"/>
      <c r="Q3091" s="3"/>
      <c r="R3091" s="3"/>
      <c r="S3091" s="3"/>
      <c r="V3091" s="3"/>
      <c r="W3091" s="3"/>
      <c r="X3091" s="3"/>
      <c r="Y3091" s="3"/>
      <c r="Z3091" s="3"/>
      <c r="AA3091" s="3"/>
      <c r="AB3091" s="3"/>
    </row>
    <row r="3092" spans="1:28" x14ac:dyDescent="0.3">
      <c r="A3092" s="2"/>
      <c r="F3092" s="3"/>
      <c r="G3092" s="3"/>
      <c r="N3092" s="3"/>
      <c r="Q3092" s="3"/>
      <c r="R3092" s="3"/>
      <c r="S3092" s="3"/>
      <c r="V3092" s="3"/>
      <c r="W3092" s="3"/>
      <c r="X3092" s="3"/>
      <c r="Y3092" s="3"/>
      <c r="Z3092" s="3"/>
      <c r="AA3092" s="3"/>
      <c r="AB3092" s="3"/>
    </row>
    <row r="3093" spans="1:28" x14ac:dyDescent="0.3">
      <c r="A3093" s="2"/>
      <c r="F3093" s="3"/>
      <c r="G3093" s="3"/>
      <c r="N3093" s="3"/>
      <c r="Q3093" s="3"/>
      <c r="R3093" s="3"/>
      <c r="S3093" s="3"/>
      <c r="V3093" s="3"/>
      <c r="W3093" s="3"/>
      <c r="X3093" s="3"/>
      <c r="Y3093" s="3"/>
      <c r="Z3093" s="3"/>
      <c r="AA3093" s="3"/>
      <c r="AB3093" s="3"/>
    </row>
    <row r="3094" spans="1:28" x14ac:dyDescent="0.3">
      <c r="A3094" s="2"/>
      <c r="F3094" s="3"/>
      <c r="G3094" s="3"/>
      <c r="N3094" s="3"/>
      <c r="Q3094" s="3"/>
      <c r="R3094" s="3"/>
      <c r="S3094" s="3"/>
      <c r="V3094" s="3"/>
      <c r="W3094" s="3"/>
      <c r="X3094" s="3"/>
      <c r="Y3094" s="3"/>
      <c r="Z3094" s="3"/>
      <c r="AA3094" s="3"/>
      <c r="AB3094" s="3"/>
    </row>
    <row r="3095" spans="1:28" x14ac:dyDescent="0.3">
      <c r="A3095" s="2"/>
      <c r="F3095" s="3"/>
      <c r="G3095" s="3"/>
      <c r="N3095" s="3"/>
      <c r="Q3095" s="3"/>
      <c r="R3095" s="3"/>
      <c r="S3095" s="3"/>
      <c r="V3095" s="3"/>
      <c r="W3095" s="3"/>
      <c r="X3095" s="3"/>
      <c r="Y3095" s="3"/>
      <c r="Z3095" s="3"/>
      <c r="AA3095" s="3"/>
      <c r="AB3095" s="3"/>
    </row>
    <row r="3096" spans="1:28" x14ac:dyDescent="0.3">
      <c r="A3096" s="2"/>
      <c r="F3096" s="3"/>
      <c r="G3096" s="3"/>
      <c r="N3096" s="3"/>
      <c r="Q3096" s="3"/>
      <c r="R3096" s="3"/>
      <c r="S3096" s="3"/>
      <c r="V3096" s="3"/>
      <c r="W3096" s="3"/>
      <c r="X3096" s="3"/>
      <c r="Y3096" s="3"/>
      <c r="Z3096" s="3"/>
      <c r="AA3096" s="3"/>
      <c r="AB3096" s="3"/>
    </row>
    <row r="3097" spans="1:28" x14ac:dyDescent="0.3">
      <c r="A3097" s="2"/>
      <c r="F3097" s="3"/>
      <c r="G3097" s="3"/>
      <c r="N3097" s="3"/>
      <c r="Q3097" s="3"/>
      <c r="R3097" s="3"/>
      <c r="S3097" s="3"/>
      <c r="V3097" s="3"/>
      <c r="W3097" s="3"/>
      <c r="X3097" s="3"/>
      <c r="Y3097" s="3"/>
      <c r="Z3097" s="3"/>
      <c r="AA3097" s="3"/>
      <c r="AB3097" s="3"/>
    </row>
    <row r="3098" spans="1:28" x14ac:dyDescent="0.3">
      <c r="A3098" s="2"/>
      <c r="F3098" s="3"/>
      <c r="G3098" s="3"/>
      <c r="N3098" s="3"/>
      <c r="Q3098" s="3"/>
      <c r="R3098" s="3"/>
      <c r="S3098" s="3"/>
      <c r="V3098" s="3"/>
      <c r="W3098" s="3"/>
      <c r="X3098" s="3"/>
      <c r="Y3098" s="3"/>
      <c r="Z3098" s="3"/>
      <c r="AA3098" s="3"/>
      <c r="AB3098" s="3"/>
    </row>
    <row r="3099" spans="1:28" x14ac:dyDescent="0.3">
      <c r="A3099" s="2"/>
      <c r="F3099" s="3"/>
      <c r="G3099" s="3"/>
      <c r="N3099" s="3"/>
      <c r="Q3099" s="3"/>
      <c r="R3099" s="3"/>
      <c r="S3099" s="3"/>
      <c r="V3099" s="3"/>
      <c r="W3099" s="3"/>
      <c r="X3099" s="3"/>
      <c r="Y3099" s="3"/>
      <c r="Z3099" s="3"/>
      <c r="AA3099" s="3"/>
      <c r="AB3099" s="3"/>
    </row>
    <row r="3100" spans="1:28" x14ac:dyDescent="0.3">
      <c r="A3100" s="2"/>
      <c r="F3100" s="3"/>
      <c r="G3100" s="3"/>
      <c r="N3100" s="3"/>
      <c r="Q3100" s="3"/>
      <c r="R3100" s="3"/>
      <c r="S3100" s="3"/>
      <c r="V3100" s="3"/>
      <c r="W3100" s="3"/>
      <c r="X3100" s="3"/>
      <c r="Y3100" s="3"/>
      <c r="Z3100" s="3"/>
      <c r="AA3100" s="3"/>
      <c r="AB3100" s="3"/>
    </row>
    <row r="3101" spans="1:28" x14ac:dyDescent="0.3">
      <c r="A3101" s="2"/>
      <c r="F3101" s="3"/>
      <c r="G3101" s="3"/>
      <c r="N3101" s="3"/>
      <c r="Q3101" s="3"/>
      <c r="R3101" s="3"/>
      <c r="S3101" s="3"/>
      <c r="V3101" s="3"/>
      <c r="W3101" s="3"/>
      <c r="X3101" s="3"/>
      <c r="Y3101" s="3"/>
      <c r="Z3101" s="3"/>
      <c r="AA3101" s="3"/>
      <c r="AB3101" s="3"/>
    </row>
    <row r="3102" spans="1:28" x14ac:dyDescent="0.3">
      <c r="A3102" s="2"/>
      <c r="F3102" s="3"/>
      <c r="G3102" s="3"/>
      <c r="N3102" s="3"/>
      <c r="Q3102" s="3"/>
      <c r="R3102" s="3"/>
      <c r="S3102" s="3"/>
      <c r="V3102" s="3"/>
      <c r="W3102" s="3"/>
      <c r="X3102" s="3"/>
      <c r="Y3102" s="3"/>
      <c r="Z3102" s="3"/>
      <c r="AA3102" s="3"/>
      <c r="AB3102" s="3"/>
    </row>
    <row r="3103" spans="1:28" x14ac:dyDescent="0.3">
      <c r="A3103" s="2"/>
      <c r="F3103" s="3"/>
      <c r="G3103" s="3"/>
      <c r="N3103" s="3"/>
      <c r="Q3103" s="3"/>
      <c r="R3103" s="3"/>
      <c r="S3103" s="3"/>
      <c r="V3103" s="3"/>
      <c r="W3103" s="3"/>
      <c r="X3103" s="3"/>
      <c r="Y3103" s="3"/>
      <c r="Z3103" s="3"/>
      <c r="AA3103" s="3"/>
      <c r="AB3103" s="3"/>
    </row>
    <row r="3104" spans="1:28" x14ac:dyDescent="0.3">
      <c r="A3104" s="2"/>
      <c r="F3104" s="3"/>
      <c r="G3104" s="3"/>
      <c r="N3104" s="3"/>
      <c r="Q3104" s="3"/>
      <c r="R3104" s="3"/>
      <c r="S3104" s="3"/>
      <c r="V3104" s="3"/>
      <c r="W3104" s="3"/>
      <c r="X3104" s="3"/>
      <c r="Y3104" s="3"/>
      <c r="Z3104" s="3"/>
      <c r="AA3104" s="3"/>
      <c r="AB3104" s="3"/>
    </row>
    <row r="3105" spans="1:28" x14ac:dyDescent="0.3">
      <c r="A3105" s="2"/>
      <c r="F3105" s="3"/>
      <c r="G3105" s="3"/>
      <c r="N3105" s="3"/>
      <c r="Q3105" s="3"/>
      <c r="R3105" s="3"/>
      <c r="S3105" s="3"/>
      <c r="V3105" s="3"/>
      <c r="W3105" s="3"/>
      <c r="X3105" s="3"/>
      <c r="Y3105" s="3"/>
      <c r="Z3105" s="3"/>
      <c r="AA3105" s="3"/>
      <c r="AB3105" s="3"/>
    </row>
    <row r="3106" spans="1:28" x14ac:dyDescent="0.3">
      <c r="A3106" s="2"/>
      <c r="F3106" s="3"/>
      <c r="G3106" s="3"/>
      <c r="N3106" s="3"/>
      <c r="Q3106" s="3"/>
      <c r="R3106" s="3"/>
      <c r="S3106" s="3"/>
      <c r="V3106" s="3"/>
      <c r="W3106" s="3"/>
      <c r="X3106" s="3"/>
      <c r="Y3106" s="3"/>
      <c r="Z3106" s="3"/>
      <c r="AA3106" s="3"/>
      <c r="AB3106" s="3"/>
    </row>
    <row r="3107" spans="1:28" x14ac:dyDescent="0.3">
      <c r="A3107" s="2"/>
      <c r="F3107" s="3"/>
      <c r="G3107" s="3"/>
      <c r="N3107" s="3"/>
      <c r="Q3107" s="3"/>
      <c r="R3107" s="3"/>
      <c r="S3107" s="3"/>
      <c r="V3107" s="3"/>
      <c r="W3107" s="3"/>
      <c r="X3107" s="3"/>
      <c r="Y3107" s="3"/>
      <c r="Z3107" s="3"/>
      <c r="AA3107" s="3"/>
      <c r="AB3107" s="3"/>
    </row>
    <row r="3108" spans="1:28" x14ac:dyDescent="0.3">
      <c r="A3108" s="2"/>
      <c r="F3108" s="3"/>
      <c r="G3108" s="3"/>
      <c r="N3108" s="3"/>
      <c r="Q3108" s="3"/>
      <c r="R3108" s="3"/>
      <c r="S3108" s="3"/>
      <c r="V3108" s="3"/>
      <c r="W3108" s="3"/>
      <c r="X3108" s="3"/>
      <c r="Y3108" s="3"/>
      <c r="Z3108" s="3"/>
      <c r="AA3108" s="3"/>
      <c r="AB3108" s="3"/>
    </row>
    <row r="3109" spans="1:28" x14ac:dyDescent="0.3">
      <c r="A3109" s="2"/>
      <c r="F3109" s="3"/>
      <c r="G3109" s="3"/>
      <c r="N3109" s="3"/>
      <c r="Q3109" s="3"/>
      <c r="R3109" s="3"/>
      <c r="S3109" s="3"/>
      <c r="V3109" s="3"/>
      <c r="W3109" s="3"/>
      <c r="X3109" s="3"/>
      <c r="Y3109" s="3"/>
      <c r="Z3109" s="3"/>
      <c r="AA3109" s="3"/>
      <c r="AB3109" s="3"/>
    </row>
    <row r="3110" spans="1:28" x14ac:dyDescent="0.3">
      <c r="A3110" s="2"/>
      <c r="F3110" s="3"/>
      <c r="G3110" s="3"/>
      <c r="N3110" s="3"/>
      <c r="Q3110" s="3"/>
      <c r="R3110" s="3"/>
      <c r="S3110" s="3"/>
      <c r="V3110" s="3"/>
      <c r="W3110" s="3"/>
      <c r="X3110" s="3"/>
      <c r="Y3110" s="3"/>
      <c r="Z3110" s="3"/>
      <c r="AA3110" s="3"/>
      <c r="AB3110" s="3"/>
    </row>
    <row r="3111" spans="1:28" x14ac:dyDescent="0.3">
      <c r="A3111" s="2"/>
      <c r="F3111" s="3"/>
      <c r="G3111" s="3"/>
      <c r="N3111" s="3"/>
      <c r="Q3111" s="3"/>
      <c r="R3111" s="3"/>
      <c r="S3111" s="3"/>
      <c r="V3111" s="3"/>
      <c r="W3111" s="3"/>
      <c r="X3111" s="3"/>
      <c r="Y3111" s="3"/>
      <c r="Z3111" s="3"/>
      <c r="AA3111" s="3"/>
      <c r="AB3111" s="3"/>
    </row>
    <row r="3112" spans="1:28" x14ac:dyDescent="0.3">
      <c r="A3112" s="2"/>
      <c r="F3112" s="3"/>
      <c r="G3112" s="3"/>
      <c r="N3112" s="3"/>
      <c r="Q3112" s="3"/>
      <c r="R3112" s="3"/>
      <c r="S3112" s="3"/>
      <c r="V3112" s="3"/>
      <c r="W3112" s="3"/>
      <c r="X3112" s="3"/>
      <c r="Y3112" s="3"/>
      <c r="Z3112" s="3"/>
      <c r="AA3112" s="3"/>
      <c r="AB3112" s="3"/>
    </row>
    <row r="3113" spans="1:28" x14ac:dyDescent="0.3">
      <c r="A3113" s="2"/>
      <c r="F3113" s="3"/>
      <c r="G3113" s="3"/>
      <c r="N3113" s="3"/>
      <c r="Q3113" s="3"/>
      <c r="R3113" s="3"/>
      <c r="S3113" s="3"/>
      <c r="V3113" s="3"/>
      <c r="W3113" s="3"/>
      <c r="X3113" s="3"/>
      <c r="Y3113" s="3"/>
      <c r="Z3113" s="3"/>
      <c r="AA3113" s="3"/>
      <c r="AB3113" s="3"/>
    </row>
    <row r="3114" spans="1:28" x14ac:dyDescent="0.3">
      <c r="A3114" s="2"/>
      <c r="F3114" s="3"/>
      <c r="G3114" s="3"/>
      <c r="N3114" s="3"/>
      <c r="Q3114" s="3"/>
      <c r="R3114" s="3"/>
      <c r="S3114" s="3"/>
      <c r="V3114" s="3"/>
      <c r="W3114" s="3"/>
      <c r="X3114" s="3"/>
      <c r="Y3114" s="3"/>
      <c r="Z3114" s="3"/>
      <c r="AA3114" s="3"/>
      <c r="AB3114" s="3"/>
    </row>
    <row r="3115" spans="1:28" x14ac:dyDescent="0.3">
      <c r="A3115" s="2"/>
      <c r="F3115" s="3"/>
      <c r="G3115" s="3"/>
      <c r="N3115" s="3"/>
      <c r="Q3115" s="3"/>
      <c r="R3115" s="3"/>
      <c r="S3115" s="3"/>
      <c r="V3115" s="3"/>
      <c r="W3115" s="3"/>
      <c r="X3115" s="3"/>
      <c r="Y3115" s="3"/>
      <c r="Z3115" s="3"/>
      <c r="AA3115" s="3"/>
      <c r="AB3115" s="3"/>
    </row>
    <row r="3116" spans="1:28" x14ac:dyDescent="0.3">
      <c r="A3116" s="2"/>
      <c r="F3116" s="3"/>
      <c r="G3116" s="3"/>
      <c r="N3116" s="3"/>
      <c r="Q3116" s="3"/>
      <c r="R3116" s="3"/>
      <c r="S3116" s="3"/>
      <c r="V3116" s="3"/>
      <c r="W3116" s="3"/>
      <c r="X3116" s="3"/>
      <c r="Y3116" s="3"/>
      <c r="Z3116" s="3"/>
      <c r="AA3116" s="3"/>
      <c r="AB3116" s="3"/>
    </row>
    <row r="3117" spans="1:28" x14ac:dyDescent="0.3">
      <c r="A3117" s="2"/>
      <c r="F3117" s="3"/>
      <c r="G3117" s="3"/>
      <c r="N3117" s="3"/>
      <c r="Q3117" s="3"/>
      <c r="R3117" s="3"/>
      <c r="S3117" s="3"/>
      <c r="V3117" s="3"/>
      <c r="W3117" s="3"/>
      <c r="X3117" s="3"/>
      <c r="Y3117" s="3"/>
      <c r="Z3117" s="3"/>
      <c r="AA3117" s="3"/>
      <c r="AB3117" s="3"/>
    </row>
    <row r="3118" spans="1:28" x14ac:dyDescent="0.3">
      <c r="A3118" s="2"/>
      <c r="F3118" s="3"/>
      <c r="G3118" s="3"/>
      <c r="N3118" s="3"/>
      <c r="Q3118" s="3"/>
      <c r="R3118" s="3"/>
      <c r="S3118" s="3"/>
      <c r="V3118" s="3"/>
      <c r="W3118" s="3"/>
      <c r="X3118" s="3"/>
      <c r="Y3118" s="3"/>
      <c r="Z3118" s="3"/>
      <c r="AA3118" s="3"/>
      <c r="AB3118" s="3"/>
    </row>
    <row r="3119" spans="1:28" x14ac:dyDescent="0.3">
      <c r="A3119" s="2"/>
      <c r="F3119" s="3"/>
      <c r="G3119" s="3"/>
      <c r="N3119" s="3"/>
      <c r="Q3119" s="3"/>
      <c r="R3119" s="3"/>
      <c r="S3119" s="3"/>
      <c r="V3119" s="3"/>
      <c r="W3119" s="3"/>
      <c r="X3119" s="3"/>
      <c r="Y3119" s="3"/>
      <c r="Z3119" s="3"/>
      <c r="AA3119" s="3"/>
      <c r="AB3119" s="3"/>
    </row>
    <row r="3120" spans="1:28" x14ac:dyDescent="0.3">
      <c r="A3120" s="2"/>
      <c r="F3120" s="3"/>
      <c r="G3120" s="3"/>
      <c r="N3120" s="3"/>
      <c r="Q3120" s="3"/>
      <c r="R3120" s="3"/>
      <c r="S3120" s="3"/>
      <c r="V3120" s="3"/>
      <c r="W3120" s="3"/>
      <c r="X3120" s="3"/>
      <c r="Y3120" s="3"/>
      <c r="Z3120" s="3"/>
      <c r="AA3120" s="3"/>
      <c r="AB3120" s="3"/>
    </row>
    <row r="3121" spans="1:28" x14ac:dyDescent="0.3">
      <c r="A3121" s="2"/>
      <c r="F3121" s="3"/>
      <c r="G3121" s="3"/>
      <c r="N3121" s="3"/>
      <c r="Q3121" s="3"/>
      <c r="R3121" s="3"/>
      <c r="S3121" s="3"/>
      <c r="V3121" s="3"/>
      <c r="W3121" s="3"/>
      <c r="X3121" s="3"/>
      <c r="Y3121" s="3"/>
      <c r="Z3121" s="3"/>
      <c r="AA3121" s="3"/>
      <c r="AB3121" s="3"/>
    </row>
    <row r="3122" spans="1:28" x14ac:dyDescent="0.3">
      <c r="A3122" s="2"/>
      <c r="F3122" s="3"/>
      <c r="G3122" s="3"/>
      <c r="N3122" s="3"/>
      <c r="Q3122" s="3"/>
      <c r="R3122" s="3"/>
      <c r="S3122" s="3"/>
      <c r="V3122" s="3"/>
      <c r="W3122" s="3"/>
      <c r="X3122" s="3"/>
      <c r="Y3122" s="3"/>
      <c r="Z3122" s="3"/>
      <c r="AA3122" s="3"/>
      <c r="AB3122" s="3"/>
    </row>
    <row r="3123" spans="1:28" x14ac:dyDescent="0.3">
      <c r="A3123" s="2"/>
      <c r="F3123" s="3"/>
      <c r="G3123" s="3"/>
      <c r="N3123" s="3"/>
      <c r="Q3123" s="3"/>
      <c r="R3123" s="3"/>
      <c r="S3123" s="3"/>
      <c r="V3123" s="3"/>
      <c r="W3123" s="3"/>
      <c r="X3123" s="3"/>
      <c r="Y3123" s="3"/>
      <c r="Z3123" s="3"/>
      <c r="AA3123" s="3"/>
      <c r="AB3123" s="3"/>
    </row>
    <row r="3124" spans="1:28" x14ac:dyDescent="0.3">
      <c r="A3124" s="2"/>
      <c r="F3124" s="3"/>
      <c r="G3124" s="3"/>
      <c r="N3124" s="3"/>
      <c r="Q3124" s="3"/>
      <c r="R3124" s="3"/>
      <c r="S3124" s="3"/>
      <c r="V3124" s="3"/>
      <c r="W3124" s="3"/>
      <c r="X3124" s="3"/>
      <c r="Y3124" s="3"/>
      <c r="Z3124" s="3"/>
      <c r="AA3124" s="3"/>
      <c r="AB3124" s="3"/>
    </row>
    <row r="3125" spans="1:28" x14ac:dyDescent="0.3">
      <c r="A3125" s="2"/>
      <c r="F3125" s="3"/>
      <c r="G3125" s="3"/>
      <c r="N3125" s="3"/>
      <c r="Q3125" s="3"/>
      <c r="R3125" s="3"/>
      <c r="S3125" s="3"/>
      <c r="V3125" s="3"/>
      <c r="W3125" s="3"/>
      <c r="X3125" s="3"/>
      <c r="Y3125" s="3"/>
      <c r="Z3125" s="3"/>
      <c r="AA3125" s="3"/>
      <c r="AB3125" s="3"/>
    </row>
    <row r="3126" spans="1:28" x14ac:dyDescent="0.3">
      <c r="A3126" s="2"/>
      <c r="F3126" s="3"/>
      <c r="G3126" s="3"/>
      <c r="N3126" s="3"/>
      <c r="Q3126" s="3"/>
      <c r="R3126" s="3"/>
      <c r="S3126" s="3"/>
      <c r="V3126" s="3"/>
      <c r="W3126" s="3"/>
      <c r="X3126" s="3"/>
      <c r="Y3126" s="3"/>
      <c r="Z3126" s="3"/>
      <c r="AA3126" s="3"/>
      <c r="AB3126" s="3"/>
    </row>
    <row r="3127" spans="1:28" x14ac:dyDescent="0.3">
      <c r="A3127" s="2"/>
      <c r="F3127" s="3"/>
      <c r="G3127" s="3"/>
      <c r="N3127" s="3"/>
      <c r="Q3127" s="3"/>
      <c r="R3127" s="3"/>
      <c r="S3127" s="3"/>
      <c r="V3127" s="3"/>
      <c r="W3127" s="3"/>
      <c r="X3127" s="3"/>
      <c r="Y3127" s="3"/>
      <c r="Z3127" s="3"/>
      <c r="AA3127" s="3"/>
      <c r="AB3127" s="3"/>
    </row>
    <row r="3128" spans="1:28" x14ac:dyDescent="0.3">
      <c r="A3128" s="2"/>
      <c r="F3128" s="3"/>
      <c r="G3128" s="3"/>
      <c r="N3128" s="3"/>
      <c r="Q3128" s="3"/>
      <c r="R3128" s="3"/>
      <c r="S3128" s="3"/>
      <c r="V3128" s="3"/>
      <c r="W3128" s="3"/>
      <c r="X3128" s="3"/>
      <c r="Y3128" s="3"/>
      <c r="Z3128" s="3"/>
      <c r="AA3128" s="3"/>
      <c r="AB3128" s="3"/>
    </row>
    <row r="3129" spans="1:28" x14ac:dyDescent="0.3">
      <c r="A3129" s="2"/>
      <c r="F3129" s="3"/>
      <c r="G3129" s="3"/>
      <c r="N3129" s="3"/>
      <c r="Q3129" s="3"/>
      <c r="R3129" s="3"/>
      <c r="S3129" s="3"/>
      <c r="V3129" s="3"/>
      <c r="W3129" s="3"/>
      <c r="X3129" s="3"/>
      <c r="Y3129" s="3"/>
      <c r="Z3129" s="3"/>
      <c r="AA3129" s="3"/>
      <c r="AB3129" s="3"/>
    </row>
    <row r="3130" spans="1:28" x14ac:dyDescent="0.3">
      <c r="A3130" s="2"/>
      <c r="F3130" s="3"/>
      <c r="G3130" s="3"/>
      <c r="N3130" s="3"/>
      <c r="Q3130" s="3"/>
      <c r="R3130" s="3"/>
      <c r="S3130" s="3"/>
      <c r="V3130" s="3"/>
      <c r="W3130" s="3"/>
      <c r="X3130" s="3"/>
      <c r="Y3130" s="3"/>
      <c r="Z3130" s="3"/>
      <c r="AA3130" s="3"/>
      <c r="AB3130" s="3"/>
    </row>
    <row r="3131" spans="1:28" x14ac:dyDescent="0.3">
      <c r="A3131" s="2"/>
      <c r="F3131" s="3"/>
      <c r="G3131" s="3"/>
      <c r="N3131" s="3"/>
      <c r="Q3131" s="3"/>
      <c r="R3131" s="3"/>
      <c r="S3131" s="3"/>
      <c r="V3131" s="3"/>
      <c r="W3131" s="3"/>
      <c r="X3131" s="3"/>
      <c r="Y3131" s="3"/>
      <c r="Z3131" s="3"/>
      <c r="AA3131" s="3"/>
      <c r="AB3131" s="3"/>
    </row>
    <row r="3132" spans="1:28" x14ac:dyDescent="0.3">
      <c r="A3132" s="2"/>
      <c r="F3132" s="3"/>
      <c r="G3132" s="3"/>
      <c r="N3132" s="3"/>
      <c r="Q3132" s="3"/>
      <c r="R3132" s="3"/>
      <c r="S3132" s="3"/>
      <c r="V3132" s="3"/>
      <c r="W3132" s="3"/>
      <c r="X3132" s="3"/>
      <c r="Y3132" s="3"/>
      <c r="Z3132" s="3"/>
      <c r="AA3132" s="3"/>
      <c r="AB3132" s="3"/>
    </row>
    <row r="3133" spans="1:28" x14ac:dyDescent="0.3">
      <c r="A3133" s="2"/>
      <c r="F3133" s="3"/>
      <c r="G3133" s="3"/>
      <c r="N3133" s="3"/>
      <c r="Q3133" s="3"/>
      <c r="R3133" s="3"/>
      <c r="S3133" s="3"/>
      <c r="V3133" s="3"/>
      <c r="W3133" s="3"/>
      <c r="X3133" s="3"/>
      <c r="Y3133" s="3"/>
      <c r="Z3133" s="3"/>
      <c r="AA3133" s="3"/>
      <c r="AB3133" s="3"/>
    </row>
    <row r="3134" spans="1:28" x14ac:dyDescent="0.3">
      <c r="A3134" s="2"/>
      <c r="F3134" s="3"/>
      <c r="G3134" s="3"/>
      <c r="N3134" s="3"/>
      <c r="Q3134" s="3"/>
      <c r="R3134" s="3"/>
      <c r="S3134" s="3"/>
      <c r="V3134" s="3"/>
      <c r="W3134" s="3"/>
      <c r="X3134" s="3"/>
      <c r="Y3134" s="3"/>
      <c r="Z3134" s="3"/>
      <c r="AA3134" s="3"/>
      <c r="AB3134" s="3"/>
    </row>
    <row r="3135" spans="1:28" x14ac:dyDescent="0.3">
      <c r="A3135" s="2"/>
      <c r="F3135" s="3"/>
      <c r="G3135" s="3"/>
      <c r="N3135" s="3"/>
      <c r="Q3135" s="3"/>
      <c r="R3135" s="3"/>
      <c r="S3135" s="3"/>
      <c r="V3135" s="3"/>
      <c r="W3135" s="3"/>
      <c r="X3135" s="3"/>
      <c r="Y3135" s="3"/>
      <c r="Z3135" s="3"/>
      <c r="AA3135" s="3"/>
      <c r="AB3135" s="3"/>
    </row>
    <row r="3136" spans="1:28" x14ac:dyDescent="0.3">
      <c r="A3136" s="2"/>
      <c r="F3136" s="3"/>
      <c r="G3136" s="3"/>
      <c r="N3136" s="3"/>
      <c r="Q3136" s="3"/>
      <c r="R3136" s="3"/>
      <c r="S3136" s="3"/>
      <c r="V3136" s="3"/>
      <c r="W3136" s="3"/>
      <c r="X3136" s="3"/>
      <c r="Y3136" s="3"/>
      <c r="Z3136" s="3"/>
      <c r="AA3136" s="3"/>
      <c r="AB3136" s="3"/>
    </row>
    <row r="3137" spans="1:28" x14ac:dyDescent="0.3">
      <c r="A3137" s="2"/>
      <c r="F3137" s="3"/>
      <c r="G3137" s="3"/>
      <c r="N3137" s="3"/>
      <c r="Q3137" s="3"/>
      <c r="R3137" s="3"/>
      <c r="S3137" s="3"/>
      <c r="V3137" s="3"/>
      <c r="W3137" s="3"/>
      <c r="X3137" s="3"/>
      <c r="Y3137" s="3"/>
      <c r="Z3137" s="3"/>
      <c r="AA3137" s="3"/>
      <c r="AB3137" s="3"/>
    </row>
    <row r="3138" spans="1:28" x14ac:dyDescent="0.3">
      <c r="A3138" s="2"/>
      <c r="F3138" s="3"/>
      <c r="G3138" s="3"/>
      <c r="N3138" s="3"/>
      <c r="Q3138" s="3"/>
      <c r="R3138" s="3"/>
      <c r="S3138" s="3"/>
      <c r="V3138" s="3"/>
      <c r="W3138" s="3"/>
      <c r="X3138" s="3"/>
      <c r="Y3138" s="3"/>
      <c r="Z3138" s="3"/>
      <c r="AA3138" s="3"/>
      <c r="AB3138" s="3"/>
    </row>
    <row r="3139" spans="1:28" x14ac:dyDescent="0.3">
      <c r="A3139" s="2"/>
      <c r="F3139" s="3"/>
      <c r="G3139" s="3"/>
      <c r="N3139" s="3"/>
      <c r="Q3139" s="3"/>
      <c r="R3139" s="3"/>
      <c r="S3139" s="3"/>
      <c r="V3139" s="3"/>
      <c r="W3139" s="3"/>
      <c r="X3139" s="3"/>
      <c r="Y3139" s="3"/>
      <c r="Z3139" s="3"/>
      <c r="AA3139" s="3"/>
      <c r="AB3139" s="3"/>
    </row>
    <row r="3140" spans="1:28" x14ac:dyDescent="0.3">
      <c r="A3140" s="2"/>
      <c r="F3140" s="3"/>
      <c r="G3140" s="3"/>
      <c r="N3140" s="3"/>
      <c r="Q3140" s="3"/>
      <c r="R3140" s="3"/>
      <c r="S3140" s="3"/>
      <c r="V3140" s="3"/>
      <c r="W3140" s="3"/>
      <c r="X3140" s="3"/>
      <c r="Y3140" s="3"/>
      <c r="Z3140" s="3"/>
      <c r="AA3140" s="3"/>
      <c r="AB3140" s="3"/>
    </row>
    <row r="3141" spans="1:28" x14ac:dyDescent="0.3">
      <c r="A3141" s="2"/>
      <c r="F3141" s="3"/>
      <c r="G3141" s="3"/>
      <c r="N3141" s="3"/>
      <c r="Q3141" s="3"/>
      <c r="R3141" s="3"/>
      <c r="S3141" s="3"/>
      <c r="V3141" s="3"/>
      <c r="W3141" s="3"/>
      <c r="X3141" s="3"/>
      <c r="Y3141" s="3"/>
      <c r="Z3141" s="3"/>
      <c r="AA3141" s="3"/>
      <c r="AB3141" s="3"/>
    </row>
    <row r="3142" spans="1:28" x14ac:dyDescent="0.3">
      <c r="A3142" s="2"/>
      <c r="F3142" s="3"/>
      <c r="G3142" s="3"/>
      <c r="N3142" s="3"/>
      <c r="Q3142" s="3"/>
      <c r="R3142" s="3"/>
      <c r="S3142" s="3"/>
      <c r="V3142" s="3"/>
      <c r="W3142" s="3"/>
      <c r="X3142" s="3"/>
      <c r="Y3142" s="3"/>
      <c r="Z3142" s="3"/>
      <c r="AA3142" s="3"/>
      <c r="AB3142" s="3"/>
    </row>
    <row r="3143" spans="1:28" x14ac:dyDescent="0.3">
      <c r="A3143" s="2"/>
      <c r="F3143" s="3"/>
      <c r="G3143" s="3"/>
      <c r="N3143" s="3"/>
      <c r="Q3143" s="3"/>
      <c r="R3143" s="3"/>
      <c r="S3143" s="3"/>
      <c r="V3143" s="3"/>
      <c r="W3143" s="3"/>
      <c r="X3143" s="3"/>
      <c r="Y3143" s="3"/>
      <c r="Z3143" s="3"/>
      <c r="AA3143" s="3"/>
      <c r="AB3143" s="3"/>
    </row>
    <row r="3144" spans="1:28" x14ac:dyDescent="0.3">
      <c r="A3144" s="2"/>
      <c r="F3144" s="3"/>
      <c r="G3144" s="3"/>
      <c r="N3144" s="3"/>
      <c r="Q3144" s="3"/>
      <c r="R3144" s="3"/>
      <c r="S3144" s="3"/>
      <c r="V3144" s="3"/>
      <c r="W3144" s="3"/>
      <c r="X3144" s="3"/>
      <c r="Y3144" s="3"/>
      <c r="Z3144" s="3"/>
      <c r="AA3144" s="3"/>
      <c r="AB3144" s="3"/>
    </row>
    <row r="3145" spans="1:28" x14ac:dyDescent="0.3">
      <c r="A3145" s="2"/>
      <c r="F3145" s="3"/>
      <c r="G3145" s="3"/>
      <c r="N3145" s="3"/>
      <c r="Q3145" s="3"/>
      <c r="R3145" s="3"/>
      <c r="S3145" s="3"/>
      <c r="V3145" s="3"/>
      <c r="W3145" s="3"/>
      <c r="X3145" s="3"/>
      <c r="Y3145" s="3"/>
      <c r="Z3145" s="3"/>
      <c r="AA3145" s="3"/>
      <c r="AB3145" s="3"/>
    </row>
    <row r="3146" spans="1:28" x14ac:dyDescent="0.3">
      <c r="A3146" s="2"/>
      <c r="F3146" s="3"/>
      <c r="G3146" s="3"/>
      <c r="N3146" s="3"/>
      <c r="Q3146" s="3"/>
      <c r="R3146" s="3"/>
      <c r="S3146" s="3"/>
      <c r="V3146" s="3"/>
      <c r="W3146" s="3"/>
      <c r="X3146" s="3"/>
      <c r="Y3146" s="3"/>
      <c r="Z3146" s="3"/>
      <c r="AA3146" s="3"/>
      <c r="AB3146" s="3"/>
    </row>
    <row r="3147" spans="1:28" x14ac:dyDescent="0.3">
      <c r="A3147" s="2"/>
      <c r="F3147" s="3"/>
      <c r="G3147" s="3"/>
      <c r="N3147" s="3"/>
      <c r="Q3147" s="3"/>
      <c r="R3147" s="3"/>
      <c r="S3147" s="3"/>
      <c r="V3147" s="3"/>
      <c r="W3147" s="3"/>
      <c r="X3147" s="3"/>
      <c r="Y3147" s="3"/>
      <c r="Z3147" s="3"/>
      <c r="AA3147" s="3"/>
      <c r="AB3147" s="3"/>
    </row>
    <row r="3148" spans="1:28" x14ac:dyDescent="0.3">
      <c r="A3148" s="2"/>
      <c r="F3148" s="3"/>
      <c r="G3148" s="3"/>
      <c r="N3148" s="3"/>
      <c r="Q3148" s="3"/>
      <c r="R3148" s="3"/>
      <c r="S3148" s="3"/>
      <c r="V3148" s="3"/>
      <c r="W3148" s="3"/>
      <c r="X3148" s="3"/>
      <c r="Y3148" s="3"/>
      <c r="Z3148" s="3"/>
      <c r="AA3148" s="3"/>
      <c r="AB3148" s="3"/>
    </row>
    <row r="3149" spans="1:28" x14ac:dyDescent="0.3">
      <c r="A3149" s="2"/>
      <c r="F3149" s="3"/>
      <c r="G3149" s="3"/>
      <c r="N3149" s="3"/>
      <c r="Q3149" s="3"/>
      <c r="R3149" s="3"/>
      <c r="S3149" s="3"/>
      <c r="V3149" s="3"/>
      <c r="W3149" s="3"/>
      <c r="X3149" s="3"/>
      <c r="Y3149" s="3"/>
      <c r="Z3149" s="3"/>
      <c r="AA3149" s="3"/>
      <c r="AB3149" s="3"/>
    </row>
    <row r="3150" spans="1:28" x14ac:dyDescent="0.3">
      <c r="A3150" s="2"/>
      <c r="F3150" s="3"/>
      <c r="G3150" s="3"/>
      <c r="N3150" s="3"/>
      <c r="Q3150" s="3"/>
      <c r="R3150" s="3"/>
      <c r="S3150" s="3"/>
      <c r="V3150" s="3"/>
      <c r="W3150" s="3"/>
      <c r="X3150" s="3"/>
      <c r="Y3150" s="3"/>
      <c r="Z3150" s="3"/>
      <c r="AA3150" s="3"/>
      <c r="AB3150" s="3"/>
    </row>
    <row r="3151" spans="1:28" x14ac:dyDescent="0.3">
      <c r="A3151" s="2"/>
      <c r="F3151" s="3"/>
      <c r="G3151" s="3"/>
      <c r="N3151" s="3"/>
      <c r="Q3151" s="3"/>
      <c r="R3151" s="3"/>
      <c r="S3151" s="3"/>
      <c r="V3151" s="3"/>
      <c r="W3151" s="3"/>
      <c r="X3151" s="3"/>
      <c r="Y3151" s="3"/>
      <c r="Z3151" s="3"/>
      <c r="AA3151" s="3"/>
      <c r="AB3151" s="3"/>
    </row>
    <row r="3152" spans="1:28" x14ac:dyDescent="0.3">
      <c r="A3152" s="2"/>
      <c r="F3152" s="3"/>
      <c r="G3152" s="3"/>
      <c r="N3152" s="3"/>
      <c r="Q3152" s="3"/>
      <c r="R3152" s="3"/>
      <c r="S3152" s="3"/>
      <c r="V3152" s="3"/>
      <c r="W3152" s="3"/>
      <c r="X3152" s="3"/>
      <c r="Y3152" s="3"/>
      <c r="Z3152" s="3"/>
      <c r="AA3152" s="3"/>
      <c r="AB3152" s="3"/>
    </row>
    <row r="3153" spans="1:28" x14ac:dyDescent="0.3">
      <c r="A3153" s="2"/>
      <c r="F3153" s="3"/>
      <c r="G3153" s="3"/>
      <c r="N3153" s="3"/>
      <c r="Q3153" s="3"/>
      <c r="R3153" s="3"/>
      <c r="S3153" s="3"/>
      <c r="V3153" s="3"/>
      <c r="W3153" s="3"/>
      <c r="X3153" s="3"/>
      <c r="Y3153" s="3"/>
      <c r="Z3153" s="3"/>
      <c r="AA3153" s="3"/>
      <c r="AB3153" s="3"/>
    </row>
    <row r="3154" spans="1:28" x14ac:dyDescent="0.3">
      <c r="A3154" s="2"/>
      <c r="F3154" s="3"/>
      <c r="G3154" s="3"/>
      <c r="N3154" s="3"/>
      <c r="Q3154" s="3"/>
      <c r="R3154" s="3"/>
      <c r="S3154" s="3"/>
      <c r="V3154" s="3"/>
      <c r="W3154" s="3"/>
      <c r="X3154" s="3"/>
      <c r="Y3154" s="3"/>
      <c r="Z3154" s="3"/>
      <c r="AA3154" s="3"/>
      <c r="AB3154" s="3"/>
    </row>
    <row r="3155" spans="1:28" x14ac:dyDescent="0.3">
      <c r="A3155" s="2"/>
      <c r="F3155" s="3"/>
      <c r="G3155" s="3"/>
      <c r="N3155" s="3"/>
      <c r="Q3155" s="3"/>
      <c r="R3155" s="3"/>
      <c r="S3155" s="3"/>
      <c r="V3155" s="3"/>
      <c r="W3155" s="3"/>
      <c r="X3155" s="3"/>
      <c r="Y3155" s="3"/>
      <c r="Z3155" s="3"/>
      <c r="AA3155" s="3"/>
      <c r="AB3155" s="3"/>
    </row>
    <row r="3156" spans="1:28" x14ac:dyDescent="0.3">
      <c r="A3156" s="2"/>
      <c r="F3156" s="3"/>
      <c r="G3156" s="3"/>
      <c r="N3156" s="3"/>
      <c r="Q3156" s="3"/>
      <c r="R3156" s="3"/>
      <c r="S3156" s="3"/>
      <c r="V3156" s="3"/>
      <c r="W3156" s="3"/>
      <c r="X3156" s="3"/>
      <c r="Y3156" s="3"/>
      <c r="Z3156" s="3"/>
      <c r="AA3156" s="3"/>
      <c r="AB3156" s="3"/>
    </row>
    <row r="3157" spans="1:28" x14ac:dyDescent="0.3">
      <c r="A3157" s="2"/>
      <c r="F3157" s="3"/>
      <c r="G3157" s="3"/>
      <c r="N3157" s="3"/>
      <c r="Q3157" s="3"/>
      <c r="R3157" s="3"/>
      <c r="S3157" s="3"/>
      <c r="V3157" s="3"/>
      <c r="W3157" s="3"/>
      <c r="X3157" s="3"/>
      <c r="Y3157" s="3"/>
      <c r="Z3157" s="3"/>
      <c r="AA3157" s="3"/>
      <c r="AB3157" s="3"/>
    </row>
    <row r="3158" spans="1:28" x14ac:dyDescent="0.3">
      <c r="A3158" s="2"/>
      <c r="F3158" s="3"/>
      <c r="G3158" s="3"/>
      <c r="N3158" s="3"/>
      <c r="Q3158" s="3"/>
      <c r="R3158" s="3"/>
      <c r="S3158" s="3"/>
      <c r="V3158" s="3"/>
      <c r="W3158" s="3"/>
      <c r="X3158" s="3"/>
      <c r="Y3158" s="3"/>
      <c r="Z3158" s="3"/>
      <c r="AA3158" s="3"/>
      <c r="AB3158" s="3"/>
    </row>
    <row r="3159" spans="1:28" x14ac:dyDescent="0.3">
      <c r="A3159" s="2"/>
      <c r="F3159" s="3"/>
      <c r="G3159" s="3"/>
      <c r="N3159" s="3"/>
      <c r="Q3159" s="3"/>
      <c r="R3159" s="3"/>
      <c r="S3159" s="3"/>
      <c r="V3159" s="3"/>
      <c r="W3159" s="3"/>
      <c r="X3159" s="3"/>
      <c r="Y3159" s="3"/>
      <c r="Z3159" s="3"/>
      <c r="AA3159" s="3"/>
      <c r="AB3159" s="3"/>
    </row>
    <row r="3160" spans="1:28" x14ac:dyDescent="0.3">
      <c r="A3160" s="2"/>
      <c r="F3160" s="3"/>
      <c r="G3160" s="3"/>
      <c r="N3160" s="3"/>
      <c r="Q3160" s="3"/>
      <c r="R3160" s="3"/>
      <c r="S3160" s="3"/>
      <c r="V3160" s="3"/>
      <c r="W3160" s="3"/>
      <c r="X3160" s="3"/>
      <c r="Y3160" s="3"/>
      <c r="Z3160" s="3"/>
      <c r="AA3160" s="3"/>
      <c r="AB3160" s="3"/>
    </row>
    <row r="3161" spans="1:28" x14ac:dyDescent="0.3">
      <c r="A3161" s="2"/>
      <c r="F3161" s="3"/>
      <c r="G3161" s="3"/>
      <c r="N3161" s="3"/>
      <c r="Q3161" s="3"/>
      <c r="R3161" s="3"/>
      <c r="S3161" s="3"/>
      <c r="V3161" s="3"/>
      <c r="W3161" s="3"/>
      <c r="X3161" s="3"/>
      <c r="Y3161" s="3"/>
      <c r="Z3161" s="3"/>
      <c r="AA3161" s="3"/>
      <c r="AB3161" s="3"/>
    </row>
    <row r="3162" spans="1:28" x14ac:dyDescent="0.3">
      <c r="A3162" s="2"/>
      <c r="F3162" s="3"/>
      <c r="G3162" s="3"/>
      <c r="N3162" s="3"/>
      <c r="Q3162" s="3"/>
      <c r="R3162" s="3"/>
      <c r="S3162" s="3"/>
      <c r="V3162" s="3"/>
      <c r="W3162" s="3"/>
      <c r="X3162" s="3"/>
      <c r="Y3162" s="3"/>
      <c r="Z3162" s="3"/>
      <c r="AA3162" s="3"/>
      <c r="AB3162" s="3"/>
    </row>
    <row r="3163" spans="1:28" x14ac:dyDescent="0.3">
      <c r="A3163" s="2"/>
      <c r="F3163" s="3"/>
      <c r="G3163" s="3"/>
      <c r="N3163" s="3"/>
      <c r="Q3163" s="3"/>
      <c r="R3163" s="3"/>
      <c r="S3163" s="3"/>
      <c r="V3163" s="3"/>
      <c r="W3163" s="3"/>
      <c r="X3163" s="3"/>
      <c r="Y3163" s="3"/>
      <c r="Z3163" s="3"/>
      <c r="AA3163" s="3"/>
      <c r="AB3163" s="3"/>
    </row>
    <row r="3164" spans="1:28" x14ac:dyDescent="0.3">
      <c r="A3164" s="2"/>
      <c r="F3164" s="3"/>
      <c r="G3164" s="3"/>
      <c r="N3164" s="3"/>
      <c r="Q3164" s="3"/>
      <c r="R3164" s="3"/>
      <c r="S3164" s="3"/>
      <c r="V3164" s="3"/>
      <c r="W3164" s="3"/>
      <c r="X3164" s="3"/>
      <c r="Y3164" s="3"/>
      <c r="Z3164" s="3"/>
      <c r="AA3164" s="3"/>
      <c r="AB3164" s="3"/>
    </row>
    <row r="3165" spans="1:28" x14ac:dyDescent="0.3">
      <c r="A3165" s="2"/>
      <c r="F3165" s="3"/>
      <c r="G3165" s="3"/>
      <c r="N3165" s="3"/>
      <c r="Q3165" s="3"/>
      <c r="R3165" s="3"/>
      <c r="S3165" s="3"/>
      <c r="V3165" s="3"/>
      <c r="W3165" s="3"/>
      <c r="X3165" s="3"/>
      <c r="Y3165" s="3"/>
      <c r="Z3165" s="3"/>
      <c r="AA3165" s="3"/>
      <c r="AB3165" s="3"/>
    </row>
    <row r="3166" spans="1:28" x14ac:dyDescent="0.3">
      <c r="A3166" s="2"/>
      <c r="F3166" s="3"/>
      <c r="G3166" s="3"/>
      <c r="N3166" s="3"/>
      <c r="Q3166" s="3"/>
      <c r="R3166" s="3"/>
      <c r="S3166" s="3"/>
      <c r="V3166" s="3"/>
      <c r="W3166" s="3"/>
      <c r="X3166" s="3"/>
      <c r="Y3166" s="3"/>
      <c r="Z3166" s="3"/>
      <c r="AA3166" s="3"/>
      <c r="AB3166" s="3"/>
    </row>
    <row r="3167" spans="1:28" x14ac:dyDescent="0.3">
      <c r="A3167" s="2"/>
      <c r="F3167" s="3"/>
      <c r="G3167" s="3"/>
      <c r="N3167" s="3"/>
      <c r="Q3167" s="3"/>
      <c r="R3167" s="3"/>
      <c r="S3167" s="3"/>
      <c r="V3167" s="3"/>
      <c r="W3167" s="3"/>
      <c r="X3167" s="3"/>
      <c r="Y3167" s="3"/>
      <c r="Z3167" s="3"/>
      <c r="AA3167" s="3"/>
      <c r="AB3167" s="3"/>
    </row>
    <row r="3168" spans="1:28" x14ac:dyDescent="0.3">
      <c r="A3168" s="2"/>
      <c r="F3168" s="3"/>
      <c r="G3168" s="3"/>
      <c r="N3168" s="3"/>
      <c r="Q3168" s="3"/>
      <c r="R3168" s="3"/>
      <c r="S3168" s="3"/>
      <c r="V3168" s="3"/>
      <c r="W3168" s="3"/>
      <c r="X3168" s="3"/>
      <c r="Y3168" s="3"/>
      <c r="Z3168" s="3"/>
      <c r="AA3168" s="3"/>
      <c r="AB3168" s="3"/>
    </row>
    <row r="3169" spans="1:28" x14ac:dyDescent="0.3">
      <c r="A3169" s="2"/>
      <c r="F3169" s="3"/>
      <c r="G3169" s="3"/>
      <c r="N3169" s="3"/>
      <c r="Q3169" s="3"/>
      <c r="R3169" s="3"/>
      <c r="S3169" s="3"/>
      <c r="V3169" s="3"/>
      <c r="W3169" s="3"/>
      <c r="X3169" s="3"/>
      <c r="Y3169" s="3"/>
      <c r="Z3169" s="3"/>
      <c r="AA3169" s="3"/>
      <c r="AB3169" s="3"/>
    </row>
    <row r="3170" spans="1:28" x14ac:dyDescent="0.3">
      <c r="A3170" s="2"/>
      <c r="F3170" s="3"/>
      <c r="G3170" s="3"/>
      <c r="N3170" s="3"/>
      <c r="Q3170" s="3"/>
      <c r="R3170" s="3"/>
      <c r="S3170" s="3"/>
      <c r="V3170" s="3"/>
      <c r="W3170" s="3"/>
      <c r="X3170" s="3"/>
      <c r="Y3170" s="3"/>
      <c r="Z3170" s="3"/>
      <c r="AA3170" s="3"/>
      <c r="AB3170" s="3"/>
    </row>
    <row r="3171" spans="1:28" x14ac:dyDescent="0.3">
      <c r="A3171" s="2"/>
      <c r="F3171" s="3"/>
      <c r="G3171" s="3"/>
      <c r="N3171" s="3"/>
      <c r="Q3171" s="3"/>
      <c r="R3171" s="3"/>
      <c r="S3171" s="3"/>
      <c r="V3171" s="3"/>
      <c r="W3171" s="3"/>
      <c r="X3171" s="3"/>
      <c r="Y3171" s="3"/>
      <c r="Z3171" s="3"/>
      <c r="AA3171" s="3"/>
      <c r="AB3171" s="3"/>
    </row>
    <row r="3172" spans="1:28" x14ac:dyDescent="0.3">
      <c r="A3172" s="2"/>
      <c r="F3172" s="3"/>
      <c r="G3172" s="3"/>
      <c r="N3172" s="3"/>
      <c r="Q3172" s="3"/>
      <c r="R3172" s="3"/>
      <c r="S3172" s="3"/>
      <c r="V3172" s="3"/>
      <c r="W3172" s="3"/>
      <c r="X3172" s="3"/>
      <c r="Y3172" s="3"/>
      <c r="Z3172" s="3"/>
      <c r="AA3172" s="3"/>
      <c r="AB3172" s="3"/>
    </row>
    <row r="3173" spans="1:28" x14ac:dyDescent="0.3">
      <c r="A3173" s="2"/>
      <c r="F3173" s="3"/>
      <c r="G3173" s="3"/>
      <c r="N3173" s="3"/>
      <c r="Q3173" s="3"/>
      <c r="R3173" s="3"/>
      <c r="S3173" s="3"/>
      <c r="V3173" s="3"/>
      <c r="W3173" s="3"/>
      <c r="X3173" s="3"/>
      <c r="Y3173" s="3"/>
      <c r="Z3173" s="3"/>
      <c r="AA3173" s="3"/>
      <c r="AB3173" s="3"/>
    </row>
    <row r="3174" spans="1:28" x14ac:dyDescent="0.3">
      <c r="A3174" s="2"/>
      <c r="F3174" s="3"/>
      <c r="G3174" s="3"/>
      <c r="N3174" s="3"/>
      <c r="Q3174" s="3"/>
      <c r="R3174" s="3"/>
      <c r="S3174" s="3"/>
      <c r="V3174" s="3"/>
      <c r="W3174" s="3"/>
      <c r="X3174" s="3"/>
      <c r="Y3174" s="3"/>
      <c r="Z3174" s="3"/>
      <c r="AA3174" s="3"/>
      <c r="AB3174" s="3"/>
    </row>
    <row r="3175" spans="1:28" x14ac:dyDescent="0.3">
      <c r="A3175" s="2"/>
      <c r="F3175" s="3"/>
      <c r="G3175" s="3"/>
      <c r="N3175" s="3"/>
      <c r="Q3175" s="3"/>
      <c r="R3175" s="3"/>
      <c r="S3175" s="3"/>
      <c r="V3175" s="3"/>
      <c r="W3175" s="3"/>
      <c r="X3175" s="3"/>
      <c r="Y3175" s="3"/>
      <c r="Z3175" s="3"/>
      <c r="AA3175" s="3"/>
      <c r="AB3175" s="3"/>
    </row>
    <row r="3176" spans="1:28" x14ac:dyDescent="0.3">
      <c r="A3176" s="2"/>
      <c r="F3176" s="3"/>
      <c r="G3176" s="3"/>
      <c r="N3176" s="3"/>
      <c r="Q3176" s="3"/>
      <c r="R3176" s="3"/>
      <c r="S3176" s="3"/>
      <c r="V3176" s="3"/>
      <c r="W3176" s="3"/>
      <c r="X3176" s="3"/>
      <c r="Y3176" s="3"/>
      <c r="Z3176" s="3"/>
      <c r="AA3176" s="3"/>
      <c r="AB3176" s="3"/>
    </row>
    <row r="3177" spans="1:28" x14ac:dyDescent="0.3">
      <c r="A3177" s="2"/>
      <c r="F3177" s="3"/>
      <c r="G3177" s="3"/>
      <c r="N3177" s="3"/>
      <c r="Q3177" s="3"/>
      <c r="R3177" s="3"/>
      <c r="S3177" s="3"/>
      <c r="V3177" s="3"/>
      <c r="W3177" s="3"/>
      <c r="X3177" s="3"/>
      <c r="Y3177" s="3"/>
      <c r="Z3177" s="3"/>
      <c r="AA3177" s="3"/>
      <c r="AB3177" s="3"/>
    </row>
    <row r="3178" spans="1:28" x14ac:dyDescent="0.3">
      <c r="A3178" s="2"/>
      <c r="F3178" s="3"/>
      <c r="G3178" s="3"/>
      <c r="N3178" s="3"/>
      <c r="Q3178" s="3"/>
      <c r="R3178" s="3"/>
      <c r="S3178" s="3"/>
      <c r="V3178" s="3"/>
      <c r="W3178" s="3"/>
      <c r="X3178" s="3"/>
      <c r="Y3178" s="3"/>
      <c r="Z3178" s="3"/>
      <c r="AA3178" s="3"/>
      <c r="AB3178" s="3"/>
    </row>
    <row r="3179" spans="1:28" x14ac:dyDescent="0.3">
      <c r="A3179" s="2"/>
      <c r="F3179" s="3"/>
      <c r="G3179" s="3"/>
      <c r="N3179" s="3"/>
      <c r="Q3179" s="3"/>
      <c r="R3179" s="3"/>
      <c r="S3179" s="3"/>
      <c r="V3179" s="3"/>
      <c r="W3179" s="3"/>
      <c r="X3179" s="3"/>
      <c r="Y3179" s="3"/>
      <c r="Z3179" s="3"/>
      <c r="AA3179" s="3"/>
      <c r="AB3179" s="3"/>
    </row>
    <row r="3180" spans="1:28" x14ac:dyDescent="0.3">
      <c r="A3180" s="2"/>
      <c r="F3180" s="3"/>
      <c r="G3180" s="3"/>
      <c r="N3180" s="3"/>
      <c r="Q3180" s="3"/>
      <c r="R3180" s="3"/>
      <c r="S3180" s="3"/>
      <c r="V3180" s="3"/>
      <c r="W3180" s="3"/>
      <c r="X3180" s="3"/>
      <c r="Y3180" s="3"/>
      <c r="Z3180" s="3"/>
      <c r="AA3180" s="3"/>
      <c r="AB3180" s="3"/>
    </row>
    <row r="3181" spans="1:28" x14ac:dyDescent="0.3">
      <c r="A3181" s="2"/>
      <c r="F3181" s="3"/>
      <c r="G3181" s="3"/>
      <c r="N3181" s="3"/>
      <c r="Q3181" s="3"/>
      <c r="R3181" s="3"/>
      <c r="S3181" s="3"/>
      <c r="V3181" s="3"/>
      <c r="W3181" s="3"/>
      <c r="X3181" s="3"/>
      <c r="Y3181" s="3"/>
      <c r="Z3181" s="3"/>
      <c r="AA3181" s="3"/>
      <c r="AB3181" s="3"/>
    </row>
    <row r="3182" spans="1:28" x14ac:dyDescent="0.3">
      <c r="A3182" s="2"/>
      <c r="F3182" s="3"/>
      <c r="G3182" s="3"/>
      <c r="N3182" s="3"/>
      <c r="Q3182" s="3"/>
      <c r="R3182" s="3"/>
      <c r="S3182" s="3"/>
      <c r="V3182" s="3"/>
      <c r="W3182" s="3"/>
      <c r="X3182" s="3"/>
      <c r="Y3182" s="3"/>
      <c r="Z3182" s="3"/>
      <c r="AA3182" s="3"/>
      <c r="AB3182" s="3"/>
    </row>
    <row r="3183" spans="1:28" x14ac:dyDescent="0.3">
      <c r="A3183" s="2"/>
      <c r="F3183" s="3"/>
      <c r="G3183" s="3"/>
      <c r="N3183" s="3"/>
      <c r="Q3183" s="3"/>
      <c r="R3183" s="3"/>
      <c r="S3183" s="3"/>
      <c r="V3183" s="3"/>
      <c r="W3183" s="3"/>
      <c r="X3183" s="3"/>
      <c r="Y3183" s="3"/>
      <c r="Z3183" s="3"/>
      <c r="AA3183" s="3"/>
      <c r="AB3183" s="3"/>
    </row>
    <row r="3184" spans="1:28" x14ac:dyDescent="0.3">
      <c r="A3184" s="2"/>
      <c r="F3184" s="3"/>
      <c r="G3184" s="3"/>
      <c r="N3184" s="3"/>
      <c r="Q3184" s="3"/>
      <c r="R3184" s="3"/>
      <c r="S3184" s="3"/>
      <c r="V3184" s="3"/>
      <c r="W3184" s="3"/>
      <c r="X3184" s="3"/>
      <c r="Y3184" s="3"/>
      <c r="Z3184" s="3"/>
      <c r="AA3184" s="3"/>
      <c r="AB3184" s="3"/>
    </row>
    <row r="3185" spans="1:28" x14ac:dyDescent="0.3">
      <c r="A3185" s="2"/>
      <c r="F3185" s="3"/>
      <c r="G3185" s="3"/>
      <c r="N3185" s="3"/>
      <c r="Q3185" s="3"/>
      <c r="R3185" s="3"/>
      <c r="S3185" s="3"/>
      <c r="V3185" s="3"/>
      <c r="W3185" s="3"/>
      <c r="X3185" s="3"/>
      <c r="Y3185" s="3"/>
      <c r="Z3185" s="3"/>
      <c r="AA3185" s="3"/>
      <c r="AB3185" s="3"/>
    </row>
    <row r="3186" spans="1:28" x14ac:dyDescent="0.3">
      <c r="A3186" s="2"/>
      <c r="F3186" s="3"/>
      <c r="G3186" s="3"/>
      <c r="N3186" s="3"/>
      <c r="Q3186" s="3"/>
      <c r="R3186" s="3"/>
      <c r="S3186" s="3"/>
      <c r="V3186" s="3"/>
      <c r="W3186" s="3"/>
      <c r="X3186" s="3"/>
      <c r="Y3186" s="3"/>
      <c r="Z3186" s="3"/>
      <c r="AA3186" s="3"/>
      <c r="AB3186" s="3"/>
    </row>
    <row r="3187" spans="1:28" x14ac:dyDescent="0.3">
      <c r="A3187" s="2"/>
      <c r="F3187" s="3"/>
      <c r="G3187" s="3"/>
      <c r="N3187" s="3"/>
      <c r="Q3187" s="3"/>
      <c r="R3187" s="3"/>
      <c r="S3187" s="3"/>
      <c r="V3187" s="3"/>
      <c r="W3187" s="3"/>
      <c r="X3187" s="3"/>
      <c r="Y3187" s="3"/>
      <c r="Z3187" s="3"/>
      <c r="AA3187" s="3"/>
      <c r="AB3187" s="3"/>
    </row>
    <row r="3188" spans="1:28" x14ac:dyDescent="0.3">
      <c r="A3188" s="2"/>
      <c r="F3188" s="3"/>
      <c r="G3188" s="3"/>
      <c r="N3188" s="3"/>
      <c r="Q3188" s="3"/>
      <c r="R3188" s="3"/>
      <c r="S3188" s="3"/>
      <c r="V3188" s="3"/>
      <c r="W3188" s="3"/>
      <c r="X3188" s="3"/>
      <c r="Y3188" s="3"/>
      <c r="Z3188" s="3"/>
      <c r="AA3188" s="3"/>
      <c r="AB3188" s="3"/>
    </row>
    <row r="3189" spans="1:28" x14ac:dyDescent="0.3">
      <c r="A3189" s="2"/>
      <c r="F3189" s="3"/>
      <c r="G3189" s="3"/>
      <c r="N3189" s="3"/>
      <c r="Q3189" s="3"/>
      <c r="R3189" s="3"/>
      <c r="S3189" s="3"/>
      <c r="V3189" s="3"/>
      <c r="W3189" s="3"/>
      <c r="X3189" s="3"/>
      <c r="Y3189" s="3"/>
      <c r="Z3189" s="3"/>
      <c r="AA3189" s="3"/>
      <c r="AB3189" s="3"/>
    </row>
    <row r="3190" spans="1:28" x14ac:dyDescent="0.3">
      <c r="A3190" s="2"/>
      <c r="F3190" s="3"/>
      <c r="G3190" s="3"/>
      <c r="N3190" s="3"/>
      <c r="Q3190" s="3"/>
      <c r="R3190" s="3"/>
      <c r="S3190" s="3"/>
      <c r="V3190" s="3"/>
      <c r="W3190" s="3"/>
      <c r="X3190" s="3"/>
      <c r="Y3190" s="3"/>
      <c r="Z3190" s="3"/>
      <c r="AA3190" s="3"/>
      <c r="AB3190" s="3"/>
    </row>
    <row r="3191" spans="1:28" x14ac:dyDescent="0.3">
      <c r="A3191" s="2"/>
      <c r="F3191" s="3"/>
      <c r="G3191" s="3"/>
      <c r="N3191" s="3"/>
      <c r="Q3191" s="3"/>
      <c r="R3191" s="3"/>
      <c r="S3191" s="3"/>
      <c r="V3191" s="3"/>
      <c r="W3191" s="3"/>
      <c r="X3191" s="3"/>
      <c r="Y3191" s="3"/>
      <c r="Z3191" s="3"/>
      <c r="AA3191" s="3"/>
      <c r="AB3191" s="3"/>
    </row>
    <row r="3192" spans="1:28" x14ac:dyDescent="0.3">
      <c r="A3192" s="2"/>
      <c r="F3192" s="3"/>
      <c r="G3192" s="3"/>
      <c r="N3192" s="3"/>
      <c r="Q3192" s="3"/>
      <c r="R3192" s="3"/>
      <c r="S3192" s="3"/>
      <c r="V3192" s="3"/>
      <c r="W3192" s="3"/>
      <c r="X3192" s="3"/>
      <c r="Y3192" s="3"/>
      <c r="Z3192" s="3"/>
      <c r="AA3192" s="3"/>
      <c r="AB3192" s="3"/>
    </row>
    <row r="3193" spans="1:28" x14ac:dyDescent="0.3">
      <c r="A3193" s="2"/>
      <c r="F3193" s="3"/>
      <c r="G3193" s="3"/>
      <c r="N3193" s="3"/>
      <c r="Q3193" s="3"/>
      <c r="R3193" s="3"/>
      <c r="S3193" s="3"/>
      <c r="V3193" s="3"/>
      <c r="W3193" s="3"/>
      <c r="X3193" s="3"/>
      <c r="Y3193" s="3"/>
      <c r="Z3193" s="3"/>
      <c r="AA3193" s="3"/>
      <c r="AB3193" s="3"/>
    </row>
    <row r="3194" spans="1:28" x14ac:dyDescent="0.3">
      <c r="A3194" s="2"/>
      <c r="F3194" s="3"/>
      <c r="G3194" s="3"/>
      <c r="N3194" s="3"/>
      <c r="Q3194" s="3"/>
      <c r="R3194" s="3"/>
      <c r="S3194" s="3"/>
      <c r="V3194" s="3"/>
      <c r="W3194" s="3"/>
      <c r="X3194" s="3"/>
      <c r="Y3194" s="3"/>
      <c r="Z3194" s="3"/>
      <c r="AA3194" s="3"/>
      <c r="AB3194" s="3"/>
    </row>
    <row r="3195" spans="1:28" x14ac:dyDescent="0.3">
      <c r="A3195" s="2"/>
      <c r="F3195" s="3"/>
      <c r="G3195" s="3"/>
      <c r="N3195" s="3"/>
      <c r="Q3195" s="3"/>
      <c r="R3195" s="3"/>
      <c r="S3195" s="3"/>
      <c r="V3195" s="3"/>
      <c r="W3195" s="3"/>
      <c r="X3195" s="3"/>
      <c r="Y3195" s="3"/>
      <c r="Z3195" s="3"/>
      <c r="AA3195" s="3"/>
      <c r="AB3195" s="3"/>
    </row>
    <row r="3196" spans="1:28" x14ac:dyDescent="0.3">
      <c r="A3196" s="2"/>
      <c r="F3196" s="3"/>
      <c r="G3196" s="3"/>
      <c r="N3196" s="3"/>
      <c r="Q3196" s="3"/>
      <c r="R3196" s="3"/>
      <c r="S3196" s="3"/>
      <c r="V3196" s="3"/>
      <c r="W3196" s="3"/>
      <c r="X3196" s="3"/>
      <c r="Y3196" s="3"/>
      <c r="Z3196" s="3"/>
      <c r="AA3196" s="3"/>
      <c r="AB3196" s="3"/>
    </row>
    <row r="3197" spans="1:28" x14ac:dyDescent="0.3">
      <c r="A3197" s="2"/>
      <c r="F3197" s="3"/>
      <c r="G3197" s="3"/>
      <c r="N3197" s="3"/>
      <c r="Q3197" s="3"/>
      <c r="R3197" s="3"/>
      <c r="S3197" s="3"/>
      <c r="V3197" s="3"/>
      <c r="W3197" s="3"/>
      <c r="X3197" s="3"/>
      <c r="Y3197" s="3"/>
      <c r="Z3197" s="3"/>
      <c r="AA3197" s="3"/>
      <c r="AB3197" s="3"/>
    </row>
    <row r="3198" spans="1:28" x14ac:dyDescent="0.3">
      <c r="A3198" s="2"/>
      <c r="F3198" s="3"/>
      <c r="G3198" s="3"/>
      <c r="N3198" s="3"/>
      <c r="Q3198" s="3"/>
      <c r="R3198" s="3"/>
      <c r="S3198" s="3"/>
      <c r="V3198" s="3"/>
      <c r="W3198" s="3"/>
      <c r="X3198" s="3"/>
      <c r="Y3198" s="3"/>
      <c r="Z3198" s="3"/>
      <c r="AA3198" s="3"/>
      <c r="AB3198" s="3"/>
    </row>
    <row r="3199" spans="1:28" x14ac:dyDescent="0.3">
      <c r="A3199" s="2"/>
      <c r="F3199" s="3"/>
      <c r="G3199" s="3"/>
      <c r="N3199" s="3"/>
      <c r="Q3199" s="3"/>
      <c r="R3199" s="3"/>
      <c r="S3199" s="3"/>
      <c r="V3199" s="3"/>
      <c r="W3199" s="3"/>
      <c r="X3199" s="3"/>
      <c r="Y3199" s="3"/>
      <c r="Z3199" s="3"/>
      <c r="AA3199" s="3"/>
      <c r="AB3199" s="3"/>
    </row>
    <row r="3200" spans="1:28" x14ac:dyDescent="0.3">
      <c r="A3200" s="2"/>
      <c r="F3200" s="3"/>
      <c r="G3200" s="3"/>
      <c r="N3200" s="3"/>
      <c r="Q3200" s="3"/>
      <c r="R3200" s="3"/>
      <c r="S3200" s="3"/>
      <c r="V3200" s="3"/>
      <c r="W3200" s="3"/>
      <c r="X3200" s="3"/>
      <c r="Y3200" s="3"/>
      <c r="Z3200" s="3"/>
      <c r="AA3200" s="3"/>
      <c r="AB3200" s="3"/>
    </row>
    <row r="3201" spans="1:28" x14ac:dyDescent="0.3">
      <c r="A3201" s="2"/>
      <c r="F3201" s="3"/>
      <c r="G3201" s="3"/>
      <c r="N3201" s="3"/>
      <c r="Q3201" s="3"/>
      <c r="R3201" s="3"/>
      <c r="S3201" s="3"/>
      <c r="V3201" s="3"/>
      <c r="W3201" s="3"/>
      <c r="X3201" s="3"/>
      <c r="Y3201" s="3"/>
      <c r="Z3201" s="3"/>
      <c r="AA3201" s="3"/>
      <c r="AB3201" s="3"/>
    </row>
    <row r="3202" spans="1:28" x14ac:dyDescent="0.3">
      <c r="A3202" s="2"/>
      <c r="F3202" s="3"/>
      <c r="G3202" s="3"/>
      <c r="N3202" s="3"/>
      <c r="Q3202" s="3"/>
      <c r="R3202" s="3"/>
      <c r="S3202" s="3"/>
      <c r="V3202" s="3"/>
      <c r="W3202" s="3"/>
      <c r="X3202" s="3"/>
      <c r="Y3202" s="3"/>
      <c r="Z3202" s="3"/>
      <c r="AA3202" s="3"/>
      <c r="AB3202" s="3"/>
    </row>
    <row r="3203" spans="1:28" x14ac:dyDescent="0.3">
      <c r="A3203" s="2"/>
      <c r="F3203" s="3"/>
      <c r="G3203" s="3"/>
      <c r="N3203" s="3"/>
      <c r="Q3203" s="3"/>
      <c r="R3203" s="3"/>
      <c r="S3203" s="3"/>
      <c r="V3203" s="3"/>
      <c r="W3203" s="3"/>
      <c r="X3203" s="3"/>
      <c r="Y3203" s="3"/>
      <c r="Z3203" s="3"/>
      <c r="AA3203" s="3"/>
      <c r="AB3203" s="3"/>
    </row>
    <row r="3204" spans="1:28" x14ac:dyDescent="0.3">
      <c r="A3204" s="2"/>
      <c r="F3204" s="3"/>
      <c r="G3204" s="3"/>
      <c r="N3204" s="3"/>
      <c r="Q3204" s="3"/>
      <c r="R3204" s="3"/>
      <c r="S3204" s="3"/>
      <c r="V3204" s="3"/>
      <c r="W3204" s="3"/>
      <c r="X3204" s="3"/>
      <c r="Y3204" s="3"/>
      <c r="Z3204" s="3"/>
      <c r="AA3204" s="3"/>
      <c r="AB3204" s="3"/>
    </row>
    <row r="3205" spans="1:28" x14ac:dyDescent="0.3">
      <c r="A3205" s="2"/>
      <c r="F3205" s="3"/>
      <c r="G3205" s="3"/>
      <c r="N3205" s="3"/>
      <c r="Q3205" s="3"/>
      <c r="R3205" s="3"/>
      <c r="S3205" s="3"/>
      <c r="V3205" s="3"/>
      <c r="W3205" s="3"/>
      <c r="X3205" s="3"/>
      <c r="Y3205" s="3"/>
      <c r="Z3205" s="3"/>
      <c r="AA3205" s="3"/>
      <c r="AB3205" s="3"/>
    </row>
    <row r="3206" spans="1:28" x14ac:dyDescent="0.3">
      <c r="A3206" s="2"/>
      <c r="F3206" s="3"/>
      <c r="G3206" s="3"/>
      <c r="N3206" s="3"/>
      <c r="Q3206" s="3"/>
      <c r="R3206" s="3"/>
      <c r="S3206" s="3"/>
      <c r="V3206" s="3"/>
      <c r="W3206" s="3"/>
      <c r="X3206" s="3"/>
      <c r="Y3206" s="3"/>
      <c r="Z3206" s="3"/>
      <c r="AA3206" s="3"/>
      <c r="AB3206" s="3"/>
    </row>
    <row r="3207" spans="1:28" x14ac:dyDescent="0.3">
      <c r="A3207" s="2"/>
      <c r="F3207" s="3"/>
      <c r="G3207" s="3"/>
      <c r="N3207" s="3"/>
      <c r="Q3207" s="3"/>
      <c r="R3207" s="3"/>
      <c r="S3207" s="3"/>
      <c r="V3207" s="3"/>
      <c r="W3207" s="3"/>
      <c r="X3207" s="3"/>
      <c r="Y3207" s="3"/>
      <c r="Z3207" s="3"/>
      <c r="AA3207" s="3"/>
      <c r="AB3207" s="3"/>
    </row>
    <row r="3208" spans="1:28" x14ac:dyDescent="0.3">
      <c r="A3208" s="2"/>
      <c r="F3208" s="3"/>
      <c r="G3208" s="3"/>
      <c r="N3208" s="3"/>
      <c r="Q3208" s="3"/>
      <c r="R3208" s="3"/>
      <c r="S3208" s="3"/>
      <c r="V3208" s="3"/>
      <c r="W3208" s="3"/>
      <c r="X3208" s="3"/>
      <c r="Y3208" s="3"/>
      <c r="Z3208" s="3"/>
      <c r="AA3208" s="3"/>
      <c r="AB3208" s="3"/>
    </row>
    <row r="3209" spans="1:28" x14ac:dyDescent="0.3">
      <c r="A3209" s="2"/>
      <c r="F3209" s="3"/>
      <c r="G3209" s="3"/>
      <c r="N3209" s="3"/>
      <c r="Q3209" s="3"/>
      <c r="R3209" s="3"/>
      <c r="S3209" s="3"/>
      <c r="V3209" s="3"/>
      <c r="W3209" s="3"/>
      <c r="X3209" s="3"/>
      <c r="Y3209" s="3"/>
      <c r="Z3209" s="3"/>
      <c r="AA3209" s="3"/>
      <c r="AB3209" s="3"/>
    </row>
    <row r="3210" spans="1:28" x14ac:dyDescent="0.3">
      <c r="A3210" s="2"/>
      <c r="F3210" s="3"/>
      <c r="G3210" s="3"/>
      <c r="N3210" s="3"/>
      <c r="Q3210" s="3"/>
      <c r="R3210" s="3"/>
      <c r="S3210" s="3"/>
      <c r="V3210" s="3"/>
      <c r="W3210" s="3"/>
      <c r="X3210" s="3"/>
      <c r="Y3210" s="3"/>
      <c r="Z3210" s="3"/>
      <c r="AA3210" s="3"/>
      <c r="AB3210" s="3"/>
    </row>
    <row r="3211" spans="1:28" x14ac:dyDescent="0.3">
      <c r="A3211" s="2"/>
      <c r="F3211" s="3"/>
      <c r="G3211" s="3"/>
      <c r="N3211" s="3"/>
      <c r="Q3211" s="3"/>
      <c r="R3211" s="3"/>
      <c r="S3211" s="3"/>
      <c r="V3211" s="3"/>
      <c r="W3211" s="3"/>
      <c r="X3211" s="3"/>
      <c r="Y3211" s="3"/>
      <c r="Z3211" s="3"/>
      <c r="AA3211" s="3"/>
      <c r="AB3211" s="3"/>
    </row>
    <row r="3212" spans="1:28" x14ac:dyDescent="0.3">
      <c r="A3212" s="2"/>
      <c r="F3212" s="3"/>
      <c r="G3212" s="3"/>
      <c r="N3212" s="3"/>
      <c r="Q3212" s="3"/>
      <c r="R3212" s="3"/>
      <c r="S3212" s="3"/>
      <c r="V3212" s="3"/>
      <c r="W3212" s="3"/>
      <c r="X3212" s="3"/>
      <c r="Y3212" s="3"/>
      <c r="Z3212" s="3"/>
      <c r="AA3212" s="3"/>
      <c r="AB3212" s="3"/>
    </row>
    <row r="3213" spans="1:28" x14ac:dyDescent="0.3">
      <c r="A3213" s="2"/>
      <c r="F3213" s="3"/>
      <c r="G3213" s="3"/>
      <c r="N3213" s="3"/>
      <c r="Q3213" s="3"/>
      <c r="R3213" s="3"/>
      <c r="S3213" s="3"/>
      <c r="V3213" s="3"/>
      <c r="W3213" s="3"/>
      <c r="X3213" s="3"/>
      <c r="Y3213" s="3"/>
      <c r="Z3213" s="3"/>
      <c r="AA3213" s="3"/>
      <c r="AB3213" s="3"/>
    </row>
    <row r="3214" spans="1:28" x14ac:dyDescent="0.3">
      <c r="A3214" s="2"/>
      <c r="F3214" s="3"/>
      <c r="G3214" s="3"/>
      <c r="N3214" s="3"/>
      <c r="Q3214" s="3"/>
      <c r="R3214" s="3"/>
      <c r="S3214" s="3"/>
      <c r="V3214" s="3"/>
      <c r="W3214" s="3"/>
      <c r="X3214" s="3"/>
      <c r="Y3214" s="3"/>
      <c r="Z3214" s="3"/>
      <c r="AA3214" s="3"/>
      <c r="AB3214" s="3"/>
    </row>
    <row r="3215" spans="1:28" x14ac:dyDescent="0.3">
      <c r="A3215" s="2"/>
      <c r="F3215" s="3"/>
      <c r="G3215" s="3"/>
      <c r="N3215" s="3"/>
      <c r="Q3215" s="3"/>
      <c r="R3215" s="3"/>
      <c r="S3215" s="3"/>
      <c r="V3215" s="3"/>
      <c r="W3215" s="3"/>
      <c r="X3215" s="3"/>
      <c r="Y3215" s="3"/>
      <c r="Z3215" s="3"/>
      <c r="AA3215" s="3"/>
      <c r="AB3215" s="3"/>
    </row>
    <row r="3216" spans="1:28" x14ac:dyDescent="0.3">
      <c r="A3216" s="2"/>
      <c r="F3216" s="3"/>
      <c r="G3216" s="3"/>
      <c r="N3216" s="3"/>
      <c r="Q3216" s="3"/>
      <c r="R3216" s="3"/>
      <c r="S3216" s="3"/>
      <c r="V3216" s="3"/>
      <c r="W3216" s="3"/>
      <c r="X3216" s="3"/>
      <c r="Y3216" s="3"/>
      <c r="Z3216" s="3"/>
      <c r="AA3216" s="3"/>
      <c r="AB3216" s="3"/>
    </row>
    <row r="3217" spans="1:28" x14ac:dyDescent="0.3">
      <c r="A3217" s="2"/>
      <c r="F3217" s="3"/>
      <c r="G3217" s="3"/>
      <c r="N3217" s="3"/>
      <c r="Q3217" s="3"/>
      <c r="R3217" s="3"/>
      <c r="S3217" s="3"/>
      <c r="V3217" s="3"/>
      <c r="W3217" s="3"/>
      <c r="X3217" s="3"/>
      <c r="Y3217" s="3"/>
      <c r="Z3217" s="3"/>
      <c r="AA3217" s="3"/>
      <c r="AB3217" s="3"/>
    </row>
    <row r="3218" spans="1:28" x14ac:dyDescent="0.3">
      <c r="A3218" s="2"/>
      <c r="F3218" s="3"/>
      <c r="G3218" s="3"/>
      <c r="N3218" s="3"/>
      <c r="Q3218" s="3"/>
      <c r="R3218" s="3"/>
      <c r="S3218" s="3"/>
      <c r="V3218" s="3"/>
      <c r="W3218" s="3"/>
      <c r="X3218" s="3"/>
      <c r="Y3218" s="3"/>
      <c r="Z3218" s="3"/>
      <c r="AA3218" s="3"/>
      <c r="AB3218" s="3"/>
    </row>
    <row r="3219" spans="1:28" x14ac:dyDescent="0.3">
      <c r="A3219" s="2"/>
      <c r="F3219" s="3"/>
      <c r="G3219" s="3"/>
      <c r="N3219" s="3"/>
      <c r="Q3219" s="3"/>
      <c r="R3219" s="3"/>
      <c r="S3219" s="3"/>
      <c r="V3219" s="3"/>
      <c r="W3219" s="3"/>
      <c r="X3219" s="3"/>
      <c r="Y3219" s="3"/>
      <c r="Z3219" s="3"/>
      <c r="AA3219" s="3"/>
      <c r="AB3219" s="3"/>
    </row>
    <row r="3220" spans="1:28" x14ac:dyDescent="0.3">
      <c r="A3220" s="2"/>
      <c r="F3220" s="3"/>
      <c r="G3220" s="3"/>
      <c r="N3220" s="3"/>
      <c r="Q3220" s="3"/>
      <c r="R3220" s="3"/>
      <c r="S3220" s="3"/>
      <c r="V3220" s="3"/>
      <c r="W3220" s="3"/>
      <c r="X3220" s="3"/>
      <c r="Y3220" s="3"/>
      <c r="Z3220" s="3"/>
      <c r="AA3220" s="3"/>
      <c r="AB3220" s="3"/>
    </row>
    <row r="3221" spans="1:28" x14ac:dyDescent="0.3">
      <c r="A3221" s="2"/>
      <c r="F3221" s="3"/>
      <c r="G3221" s="3"/>
      <c r="N3221" s="3"/>
      <c r="Q3221" s="3"/>
      <c r="R3221" s="3"/>
      <c r="S3221" s="3"/>
      <c r="V3221" s="3"/>
      <c r="W3221" s="3"/>
      <c r="X3221" s="3"/>
      <c r="Y3221" s="3"/>
      <c r="Z3221" s="3"/>
      <c r="AA3221" s="3"/>
      <c r="AB3221" s="3"/>
    </row>
    <row r="3222" spans="1:28" x14ac:dyDescent="0.3">
      <c r="A3222" s="2"/>
      <c r="F3222" s="3"/>
      <c r="G3222" s="3"/>
      <c r="N3222" s="3"/>
      <c r="Q3222" s="3"/>
      <c r="R3222" s="3"/>
      <c r="S3222" s="3"/>
      <c r="V3222" s="3"/>
      <c r="W3222" s="3"/>
      <c r="X3222" s="3"/>
      <c r="Y3222" s="3"/>
      <c r="Z3222" s="3"/>
      <c r="AA3222" s="3"/>
      <c r="AB3222" s="3"/>
    </row>
    <row r="3223" spans="1:28" x14ac:dyDescent="0.3">
      <c r="A3223" s="2"/>
      <c r="F3223" s="3"/>
      <c r="G3223" s="3"/>
      <c r="N3223" s="3"/>
      <c r="Q3223" s="3"/>
      <c r="R3223" s="3"/>
      <c r="S3223" s="3"/>
      <c r="V3223" s="3"/>
      <c r="W3223" s="3"/>
      <c r="X3223" s="3"/>
      <c r="Y3223" s="3"/>
      <c r="Z3223" s="3"/>
      <c r="AA3223" s="3"/>
      <c r="AB3223" s="3"/>
    </row>
    <row r="3224" spans="1:28" x14ac:dyDescent="0.3">
      <c r="A3224" s="2"/>
      <c r="F3224" s="3"/>
      <c r="G3224" s="3"/>
      <c r="N3224" s="3"/>
      <c r="Q3224" s="3"/>
      <c r="R3224" s="3"/>
      <c r="S3224" s="3"/>
      <c r="V3224" s="3"/>
      <c r="W3224" s="3"/>
      <c r="X3224" s="3"/>
      <c r="Y3224" s="3"/>
      <c r="Z3224" s="3"/>
      <c r="AA3224" s="3"/>
      <c r="AB3224" s="3"/>
    </row>
    <row r="3225" spans="1:28" x14ac:dyDescent="0.3">
      <c r="A3225" s="2"/>
      <c r="F3225" s="3"/>
      <c r="G3225" s="3"/>
      <c r="N3225" s="3"/>
      <c r="Q3225" s="3"/>
      <c r="R3225" s="3"/>
      <c r="S3225" s="3"/>
      <c r="V3225" s="3"/>
      <c r="W3225" s="3"/>
      <c r="X3225" s="3"/>
      <c r="Y3225" s="3"/>
      <c r="Z3225" s="3"/>
      <c r="AA3225" s="3"/>
      <c r="AB3225" s="3"/>
    </row>
    <row r="3226" spans="1:28" x14ac:dyDescent="0.3">
      <c r="A3226" s="2"/>
      <c r="F3226" s="3"/>
      <c r="G3226" s="3"/>
      <c r="N3226" s="3"/>
      <c r="Q3226" s="3"/>
      <c r="R3226" s="3"/>
      <c r="S3226" s="3"/>
      <c r="V3226" s="3"/>
      <c r="W3226" s="3"/>
      <c r="X3226" s="3"/>
      <c r="Y3226" s="3"/>
      <c r="Z3226" s="3"/>
      <c r="AA3226" s="3"/>
      <c r="AB3226" s="3"/>
    </row>
    <row r="3227" spans="1:28" x14ac:dyDescent="0.3">
      <c r="A3227" s="2"/>
      <c r="F3227" s="3"/>
      <c r="G3227" s="3"/>
      <c r="N3227" s="3"/>
      <c r="Q3227" s="3"/>
      <c r="R3227" s="3"/>
      <c r="S3227" s="3"/>
      <c r="V3227" s="3"/>
      <c r="W3227" s="3"/>
      <c r="X3227" s="3"/>
      <c r="Y3227" s="3"/>
      <c r="Z3227" s="3"/>
      <c r="AA3227" s="3"/>
      <c r="AB3227" s="3"/>
    </row>
    <row r="3228" spans="1:28" x14ac:dyDescent="0.3">
      <c r="A3228" s="2"/>
      <c r="F3228" s="3"/>
      <c r="G3228" s="3"/>
      <c r="N3228" s="3"/>
      <c r="Q3228" s="3"/>
      <c r="R3228" s="3"/>
      <c r="S3228" s="3"/>
      <c r="V3228" s="3"/>
      <c r="W3228" s="3"/>
      <c r="X3228" s="3"/>
      <c r="Y3228" s="3"/>
      <c r="Z3228" s="3"/>
      <c r="AA3228" s="3"/>
      <c r="AB3228" s="3"/>
    </row>
    <row r="3229" spans="1:28" x14ac:dyDescent="0.3">
      <c r="A3229" s="2"/>
      <c r="F3229" s="3"/>
      <c r="G3229" s="3"/>
      <c r="N3229" s="3"/>
      <c r="Q3229" s="3"/>
      <c r="R3229" s="3"/>
      <c r="S3229" s="3"/>
      <c r="V3229" s="3"/>
      <c r="W3229" s="3"/>
      <c r="X3229" s="3"/>
      <c r="Y3229" s="3"/>
      <c r="Z3229" s="3"/>
      <c r="AA3229" s="3"/>
      <c r="AB3229" s="3"/>
    </row>
    <row r="3230" spans="1:28" x14ac:dyDescent="0.3">
      <c r="A3230" s="2"/>
      <c r="F3230" s="3"/>
      <c r="G3230" s="3"/>
      <c r="N3230" s="3"/>
      <c r="Q3230" s="3"/>
      <c r="R3230" s="3"/>
      <c r="S3230" s="3"/>
      <c r="V3230" s="3"/>
      <c r="W3230" s="3"/>
      <c r="X3230" s="3"/>
      <c r="Y3230" s="3"/>
      <c r="Z3230" s="3"/>
      <c r="AA3230" s="3"/>
      <c r="AB3230" s="3"/>
    </row>
    <row r="3231" spans="1:28" x14ac:dyDescent="0.3">
      <c r="A3231" s="2"/>
      <c r="F3231" s="3"/>
      <c r="G3231" s="3"/>
      <c r="N3231" s="3"/>
      <c r="Q3231" s="3"/>
      <c r="R3231" s="3"/>
      <c r="S3231" s="3"/>
      <c r="V3231" s="3"/>
      <c r="W3231" s="3"/>
      <c r="X3231" s="3"/>
      <c r="Y3231" s="3"/>
      <c r="Z3231" s="3"/>
      <c r="AA3231" s="3"/>
      <c r="AB3231" s="3"/>
    </row>
    <row r="3232" spans="1:28" x14ac:dyDescent="0.3">
      <c r="A3232" s="2"/>
      <c r="F3232" s="3"/>
      <c r="G3232" s="3"/>
      <c r="N3232" s="3"/>
      <c r="Q3232" s="3"/>
      <c r="R3232" s="3"/>
      <c r="S3232" s="3"/>
      <c r="V3232" s="3"/>
      <c r="W3232" s="3"/>
      <c r="X3232" s="3"/>
      <c r="Y3232" s="3"/>
      <c r="Z3232" s="3"/>
      <c r="AA3232" s="3"/>
      <c r="AB3232" s="3"/>
    </row>
    <row r="3233" spans="1:28" x14ac:dyDescent="0.3">
      <c r="A3233" s="2"/>
      <c r="F3233" s="3"/>
      <c r="G3233" s="3"/>
      <c r="N3233" s="3"/>
      <c r="Q3233" s="3"/>
      <c r="R3233" s="3"/>
      <c r="S3233" s="3"/>
      <c r="V3233" s="3"/>
      <c r="W3233" s="3"/>
      <c r="X3233" s="3"/>
      <c r="Y3233" s="3"/>
      <c r="Z3233" s="3"/>
      <c r="AA3233" s="3"/>
      <c r="AB3233" s="3"/>
    </row>
    <row r="3234" spans="1:28" x14ac:dyDescent="0.3">
      <c r="A3234" s="2"/>
      <c r="F3234" s="3"/>
      <c r="G3234" s="3"/>
      <c r="N3234" s="3"/>
      <c r="Q3234" s="3"/>
      <c r="R3234" s="3"/>
      <c r="S3234" s="3"/>
      <c r="V3234" s="3"/>
      <c r="W3234" s="3"/>
      <c r="X3234" s="3"/>
      <c r="Y3234" s="3"/>
      <c r="Z3234" s="3"/>
      <c r="AA3234" s="3"/>
      <c r="AB3234" s="3"/>
    </row>
    <row r="3235" spans="1:28" x14ac:dyDescent="0.3">
      <c r="A3235" s="2"/>
      <c r="F3235" s="3"/>
      <c r="G3235" s="3"/>
      <c r="N3235" s="3"/>
      <c r="Q3235" s="3"/>
      <c r="R3235" s="3"/>
      <c r="S3235" s="3"/>
      <c r="V3235" s="3"/>
      <c r="W3235" s="3"/>
      <c r="X3235" s="3"/>
      <c r="Y3235" s="3"/>
      <c r="Z3235" s="3"/>
      <c r="AA3235" s="3"/>
      <c r="AB3235" s="3"/>
    </row>
    <row r="3236" spans="1:28" x14ac:dyDescent="0.3">
      <c r="A3236" s="2"/>
      <c r="F3236" s="3"/>
      <c r="G3236" s="3"/>
      <c r="N3236" s="3"/>
      <c r="Q3236" s="3"/>
      <c r="R3236" s="3"/>
      <c r="S3236" s="3"/>
      <c r="V3236" s="3"/>
      <c r="W3236" s="3"/>
      <c r="X3236" s="3"/>
      <c r="Y3236" s="3"/>
      <c r="Z3236" s="3"/>
      <c r="AA3236" s="3"/>
      <c r="AB3236" s="3"/>
    </row>
    <row r="3237" spans="1:28" x14ac:dyDescent="0.3">
      <c r="A3237" s="2"/>
      <c r="F3237" s="3"/>
      <c r="G3237" s="3"/>
      <c r="N3237" s="3"/>
      <c r="Q3237" s="3"/>
      <c r="R3237" s="3"/>
      <c r="S3237" s="3"/>
      <c r="V3237" s="3"/>
      <c r="W3237" s="3"/>
      <c r="X3237" s="3"/>
      <c r="Y3237" s="3"/>
      <c r="Z3237" s="3"/>
      <c r="AA3237" s="3"/>
      <c r="AB3237" s="3"/>
    </row>
    <row r="3238" spans="1:28" x14ac:dyDescent="0.3">
      <c r="A3238" s="2"/>
      <c r="F3238" s="3"/>
      <c r="G3238" s="3"/>
      <c r="N3238" s="3"/>
      <c r="Q3238" s="3"/>
      <c r="R3238" s="3"/>
      <c r="S3238" s="3"/>
      <c r="V3238" s="3"/>
      <c r="W3238" s="3"/>
      <c r="X3238" s="3"/>
      <c r="Y3238" s="3"/>
      <c r="Z3238" s="3"/>
      <c r="AA3238" s="3"/>
      <c r="AB3238" s="3"/>
    </row>
    <row r="3239" spans="1:28" x14ac:dyDescent="0.3">
      <c r="A3239" s="2"/>
      <c r="F3239" s="3"/>
      <c r="G3239" s="3"/>
      <c r="N3239" s="3"/>
      <c r="Q3239" s="3"/>
      <c r="R3239" s="3"/>
      <c r="S3239" s="3"/>
      <c r="V3239" s="3"/>
      <c r="W3239" s="3"/>
      <c r="X3239" s="3"/>
      <c r="Y3239" s="3"/>
      <c r="Z3239" s="3"/>
      <c r="AA3239" s="3"/>
      <c r="AB3239" s="3"/>
    </row>
    <row r="3240" spans="1:28" x14ac:dyDescent="0.3">
      <c r="A3240" s="2"/>
      <c r="F3240" s="3"/>
      <c r="G3240" s="3"/>
      <c r="N3240" s="3"/>
      <c r="Q3240" s="3"/>
      <c r="R3240" s="3"/>
      <c r="S3240" s="3"/>
      <c r="V3240" s="3"/>
      <c r="W3240" s="3"/>
      <c r="X3240" s="3"/>
      <c r="Y3240" s="3"/>
      <c r="Z3240" s="3"/>
      <c r="AA3240" s="3"/>
      <c r="AB3240" s="3"/>
    </row>
    <row r="3241" spans="1:28" x14ac:dyDescent="0.3">
      <c r="A3241" s="2"/>
      <c r="F3241" s="3"/>
      <c r="G3241" s="3"/>
      <c r="N3241" s="3"/>
      <c r="Q3241" s="3"/>
      <c r="R3241" s="3"/>
      <c r="S3241" s="3"/>
      <c r="V3241" s="3"/>
      <c r="W3241" s="3"/>
      <c r="X3241" s="3"/>
      <c r="Y3241" s="3"/>
      <c r="Z3241" s="3"/>
      <c r="AA3241" s="3"/>
      <c r="AB3241" s="3"/>
    </row>
    <row r="3242" spans="1:28" x14ac:dyDescent="0.3">
      <c r="A3242" s="2"/>
      <c r="F3242" s="3"/>
      <c r="G3242" s="3"/>
      <c r="N3242" s="3"/>
      <c r="Q3242" s="3"/>
      <c r="R3242" s="3"/>
      <c r="S3242" s="3"/>
      <c r="V3242" s="3"/>
      <c r="W3242" s="3"/>
      <c r="X3242" s="3"/>
      <c r="Y3242" s="3"/>
      <c r="Z3242" s="3"/>
      <c r="AA3242" s="3"/>
      <c r="AB3242" s="3"/>
    </row>
    <row r="3243" spans="1:28" x14ac:dyDescent="0.3">
      <c r="A3243" s="2"/>
      <c r="F3243" s="3"/>
      <c r="G3243" s="3"/>
      <c r="N3243" s="3"/>
      <c r="Q3243" s="3"/>
      <c r="R3243" s="3"/>
      <c r="S3243" s="3"/>
      <c r="V3243" s="3"/>
      <c r="W3243" s="3"/>
      <c r="X3243" s="3"/>
      <c r="Y3243" s="3"/>
      <c r="Z3243" s="3"/>
      <c r="AA3243" s="3"/>
      <c r="AB3243" s="3"/>
    </row>
    <row r="3244" spans="1:28" x14ac:dyDescent="0.3">
      <c r="A3244" s="2"/>
      <c r="F3244" s="3"/>
      <c r="G3244" s="3"/>
      <c r="N3244" s="3"/>
      <c r="Q3244" s="3"/>
      <c r="R3244" s="3"/>
      <c r="S3244" s="3"/>
      <c r="V3244" s="3"/>
      <c r="W3244" s="3"/>
      <c r="X3244" s="3"/>
      <c r="Y3244" s="3"/>
      <c r="Z3244" s="3"/>
      <c r="AA3244" s="3"/>
      <c r="AB3244" s="3"/>
    </row>
    <row r="3245" spans="1:28" x14ac:dyDescent="0.3">
      <c r="A3245" s="2"/>
      <c r="F3245" s="3"/>
      <c r="G3245" s="3"/>
      <c r="N3245" s="3"/>
      <c r="Q3245" s="3"/>
      <c r="R3245" s="3"/>
      <c r="S3245" s="3"/>
      <c r="V3245" s="3"/>
      <c r="W3245" s="3"/>
      <c r="X3245" s="3"/>
      <c r="Y3245" s="3"/>
      <c r="Z3245" s="3"/>
      <c r="AA3245" s="3"/>
      <c r="AB3245" s="3"/>
    </row>
    <row r="3246" spans="1:28" x14ac:dyDescent="0.3">
      <c r="A3246" s="2"/>
      <c r="F3246" s="3"/>
      <c r="G3246" s="3"/>
      <c r="N3246" s="3"/>
      <c r="Q3246" s="3"/>
      <c r="R3246" s="3"/>
      <c r="S3246" s="3"/>
      <c r="V3246" s="3"/>
      <c r="W3246" s="3"/>
      <c r="X3246" s="3"/>
      <c r="Y3246" s="3"/>
      <c r="Z3246" s="3"/>
      <c r="AA3246" s="3"/>
      <c r="AB3246" s="3"/>
    </row>
    <row r="3247" spans="1:28" x14ac:dyDescent="0.3">
      <c r="A3247" s="2"/>
      <c r="F3247" s="3"/>
      <c r="G3247" s="3"/>
      <c r="N3247" s="3"/>
      <c r="Q3247" s="3"/>
      <c r="R3247" s="3"/>
      <c r="S3247" s="3"/>
      <c r="V3247" s="3"/>
      <c r="W3247" s="3"/>
      <c r="X3247" s="3"/>
      <c r="Y3247" s="3"/>
      <c r="Z3247" s="3"/>
      <c r="AA3247" s="3"/>
      <c r="AB3247" s="3"/>
    </row>
    <row r="3248" spans="1:28" x14ac:dyDescent="0.3">
      <c r="A3248" s="2"/>
      <c r="F3248" s="3"/>
      <c r="G3248" s="3"/>
      <c r="N3248" s="3"/>
      <c r="Q3248" s="3"/>
      <c r="R3248" s="3"/>
      <c r="S3248" s="3"/>
      <c r="V3248" s="3"/>
      <c r="W3248" s="3"/>
      <c r="X3248" s="3"/>
      <c r="Y3248" s="3"/>
      <c r="Z3248" s="3"/>
      <c r="AA3248" s="3"/>
      <c r="AB3248" s="3"/>
    </row>
    <row r="3249" spans="1:28" x14ac:dyDescent="0.3">
      <c r="A3249" s="2"/>
      <c r="F3249" s="3"/>
      <c r="G3249" s="3"/>
      <c r="N3249" s="3"/>
      <c r="Q3249" s="3"/>
      <c r="R3249" s="3"/>
      <c r="S3249" s="3"/>
      <c r="V3249" s="3"/>
      <c r="W3249" s="3"/>
      <c r="X3249" s="3"/>
      <c r="Y3249" s="3"/>
      <c r="Z3249" s="3"/>
      <c r="AA3249" s="3"/>
      <c r="AB3249" s="3"/>
    </row>
    <row r="3250" spans="1:28" x14ac:dyDescent="0.3">
      <c r="A3250" s="2"/>
      <c r="F3250" s="3"/>
      <c r="G3250" s="3"/>
      <c r="N3250" s="3"/>
      <c r="Q3250" s="3"/>
      <c r="R3250" s="3"/>
      <c r="S3250" s="3"/>
      <c r="V3250" s="3"/>
      <c r="W3250" s="3"/>
      <c r="X3250" s="3"/>
      <c r="Y3250" s="3"/>
      <c r="Z3250" s="3"/>
      <c r="AA3250" s="3"/>
      <c r="AB3250" s="3"/>
    </row>
    <row r="3251" spans="1:28" x14ac:dyDescent="0.3">
      <c r="A3251" s="2"/>
      <c r="F3251" s="3"/>
      <c r="G3251" s="3"/>
      <c r="N3251" s="3"/>
      <c r="Q3251" s="3"/>
      <c r="R3251" s="3"/>
      <c r="S3251" s="3"/>
      <c r="V3251" s="3"/>
      <c r="W3251" s="3"/>
      <c r="X3251" s="3"/>
      <c r="Y3251" s="3"/>
      <c r="Z3251" s="3"/>
      <c r="AA3251" s="3"/>
      <c r="AB3251" s="3"/>
    </row>
    <row r="3252" spans="1:28" x14ac:dyDescent="0.3">
      <c r="A3252" s="2"/>
      <c r="F3252" s="3"/>
      <c r="G3252" s="3"/>
      <c r="N3252" s="3"/>
      <c r="Q3252" s="3"/>
      <c r="R3252" s="3"/>
      <c r="S3252" s="3"/>
      <c r="V3252" s="3"/>
      <c r="W3252" s="3"/>
      <c r="X3252" s="3"/>
      <c r="Y3252" s="3"/>
      <c r="Z3252" s="3"/>
      <c r="AA3252" s="3"/>
      <c r="AB3252" s="3"/>
    </row>
    <row r="3253" spans="1:28" x14ac:dyDescent="0.3">
      <c r="A3253" s="2"/>
      <c r="F3253" s="3"/>
      <c r="G3253" s="3"/>
      <c r="N3253" s="3"/>
      <c r="Q3253" s="3"/>
      <c r="R3253" s="3"/>
      <c r="S3253" s="3"/>
      <c r="V3253" s="3"/>
      <c r="W3253" s="3"/>
      <c r="X3253" s="3"/>
      <c r="Y3253" s="3"/>
      <c r="Z3253" s="3"/>
      <c r="AA3253" s="3"/>
      <c r="AB3253" s="3"/>
    </row>
    <row r="3254" spans="1:28" x14ac:dyDescent="0.3">
      <c r="A3254" s="2"/>
      <c r="F3254" s="3"/>
      <c r="G3254" s="3"/>
      <c r="N3254" s="3"/>
      <c r="Q3254" s="3"/>
      <c r="R3254" s="3"/>
      <c r="S3254" s="3"/>
      <c r="V3254" s="3"/>
      <c r="W3254" s="3"/>
      <c r="X3254" s="3"/>
      <c r="Y3254" s="3"/>
      <c r="Z3254" s="3"/>
      <c r="AA3254" s="3"/>
      <c r="AB3254" s="3"/>
    </row>
    <row r="3255" spans="1:28" x14ac:dyDescent="0.3">
      <c r="A3255" s="2"/>
      <c r="F3255" s="3"/>
      <c r="G3255" s="3"/>
      <c r="N3255" s="3"/>
      <c r="Q3255" s="3"/>
      <c r="R3255" s="3"/>
      <c r="S3255" s="3"/>
      <c r="V3255" s="3"/>
      <c r="W3255" s="3"/>
      <c r="X3255" s="3"/>
      <c r="Y3255" s="3"/>
      <c r="Z3255" s="3"/>
      <c r="AA3255" s="3"/>
      <c r="AB3255" s="3"/>
    </row>
    <row r="3256" spans="1:28" x14ac:dyDescent="0.3">
      <c r="A3256" s="2"/>
      <c r="F3256" s="3"/>
      <c r="G3256" s="3"/>
      <c r="N3256" s="3"/>
      <c r="Q3256" s="3"/>
      <c r="R3256" s="3"/>
      <c r="S3256" s="3"/>
      <c r="V3256" s="3"/>
      <c r="W3256" s="3"/>
      <c r="X3256" s="3"/>
      <c r="Y3256" s="3"/>
      <c r="Z3256" s="3"/>
      <c r="AA3256" s="3"/>
      <c r="AB3256" s="3"/>
    </row>
    <row r="3257" spans="1:28" x14ac:dyDescent="0.3">
      <c r="A3257" s="2"/>
      <c r="F3257" s="3"/>
      <c r="G3257" s="3"/>
      <c r="N3257" s="3"/>
      <c r="Q3257" s="3"/>
      <c r="R3257" s="3"/>
      <c r="S3257" s="3"/>
      <c r="V3257" s="3"/>
      <c r="W3257" s="3"/>
      <c r="X3257" s="3"/>
      <c r="Y3257" s="3"/>
      <c r="Z3257" s="3"/>
      <c r="AA3257" s="3"/>
      <c r="AB3257" s="3"/>
    </row>
    <row r="3258" spans="1:28" x14ac:dyDescent="0.3">
      <c r="A3258" s="2"/>
      <c r="F3258" s="3"/>
      <c r="G3258" s="3"/>
      <c r="N3258" s="3"/>
      <c r="Q3258" s="3"/>
      <c r="R3258" s="3"/>
      <c r="S3258" s="3"/>
      <c r="V3258" s="3"/>
      <c r="W3258" s="3"/>
      <c r="X3258" s="3"/>
      <c r="Y3258" s="3"/>
      <c r="Z3258" s="3"/>
      <c r="AA3258" s="3"/>
      <c r="AB3258" s="3"/>
    </row>
    <row r="3259" spans="1:28" x14ac:dyDescent="0.3">
      <c r="A3259" s="2"/>
      <c r="F3259" s="3"/>
      <c r="G3259" s="3"/>
      <c r="N3259" s="3"/>
      <c r="Q3259" s="3"/>
      <c r="R3259" s="3"/>
      <c r="S3259" s="3"/>
      <c r="V3259" s="3"/>
      <c r="W3259" s="3"/>
      <c r="X3259" s="3"/>
      <c r="Y3259" s="3"/>
      <c r="Z3259" s="3"/>
      <c r="AA3259" s="3"/>
      <c r="AB3259" s="3"/>
    </row>
    <row r="3260" spans="1:28" x14ac:dyDescent="0.3">
      <c r="A3260" s="2"/>
      <c r="F3260" s="3"/>
      <c r="G3260" s="3"/>
      <c r="N3260" s="3"/>
      <c r="Q3260" s="3"/>
      <c r="R3260" s="3"/>
      <c r="S3260" s="3"/>
      <c r="V3260" s="3"/>
      <c r="W3260" s="3"/>
      <c r="X3260" s="3"/>
      <c r="Y3260" s="3"/>
      <c r="Z3260" s="3"/>
      <c r="AA3260" s="3"/>
      <c r="AB3260" s="3"/>
    </row>
    <row r="3261" spans="1:28" x14ac:dyDescent="0.3">
      <c r="A3261" s="2"/>
      <c r="F3261" s="3"/>
      <c r="G3261" s="3"/>
      <c r="N3261" s="3"/>
      <c r="Q3261" s="3"/>
      <c r="R3261" s="3"/>
      <c r="S3261" s="3"/>
      <c r="V3261" s="3"/>
      <c r="W3261" s="3"/>
      <c r="X3261" s="3"/>
      <c r="Y3261" s="3"/>
      <c r="Z3261" s="3"/>
      <c r="AA3261" s="3"/>
      <c r="AB3261" s="3"/>
    </row>
    <row r="3262" spans="1:28" x14ac:dyDescent="0.3">
      <c r="A3262" s="2"/>
      <c r="F3262" s="3"/>
      <c r="G3262" s="3"/>
      <c r="N3262" s="3"/>
      <c r="Q3262" s="3"/>
      <c r="R3262" s="3"/>
      <c r="S3262" s="3"/>
      <c r="V3262" s="3"/>
      <c r="W3262" s="3"/>
      <c r="X3262" s="3"/>
      <c r="Y3262" s="3"/>
      <c r="Z3262" s="3"/>
      <c r="AA3262" s="3"/>
      <c r="AB3262" s="3"/>
    </row>
    <row r="3263" spans="1:28" x14ac:dyDescent="0.3">
      <c r="A3263" s="2"/>
      <c r="F3263" s="3"/>
      <c r="G3263" s="3"/>
      <c r="N3263" s="3"/>
      <c r="Q3263" s="3"/>
      <c r="R3263" s="3"/>
      <c r="S3263" s="3"/>
      <c r="V3263" s="3"/>
      <c r="W3263" s="3"/>
      <c r="X3263" s="3"/>
      <c r="Y3263" s="3"/>
      <c r="Z3263" s="3"/>
      <c r="AA3263" s="3"/>
      <c r="AB3263" s="3"/>
    </row>
    <row r="3264" spans="1:28" x14ac:dyDescent="0.3">
      <c r="A3264" s="2"/>
      <c r="F3264" s="3"/>
      <c r="G3264" s="3"/>
      <c r="N3264" s="3"/>
      <c r="Q3264" s="3"/>
      <c r="R3264" s="3"/>
      <c r="S3264" s="3"/>
      <c r="V3264" s="3"/>
      <c r="W3264" s="3"/>
      <c r="X3264" s="3"/>
      <c r="Y3264" s="3"/>
      <c r="Z3264" s="3"/>
      <c r="AA3264" s="3"/>
      <c r="AB3264" s="3"/>
    </row>
    <row r="3265" spans="1:28" x14ac:dyDescent="0.3">
      <c r="A3265" s="2"/>
      <c r="F3265" s="3"/>
      <c r="G3265" s="3"/>
      <c r="N3265" s="3"/>
      <c r="Q3265" s="3"/>
      <c r="R3265" s="3"/>
      <c r="S3265" s="3"/>
      <c r="V3265" s="3"/>
      <c r="W3265" s="3"/>
      <c r="X3265" s="3"/>
      <c r="Y3265" s="3"/>
      <c r="Z3265" s="3"/>
      <c r="AA3265" s="3"/>
      <c r="AB3265" s="3"/>
    </row>
    <row r="3266" spans="1:28" x14ac:dyDescent="0.3">
      <c r="A3266" s="2"/>
      <c r="F3266" s="3"/>
      <c r="G3266" s="3"/>
      <c r="N3266" s="3"/>
      <c r="Q3266" s="3"/>
      <c r="R3266" s="3"/>
      <c r="S3266" s="3"/>
      <c r="V3266" s="3"/>
      <c r="W3266" s="3"/>
      <c r="X3266" s="3"/>
      <c r="Y3266" s="3"/>
      <c r="Z3266" s="3"/>
      <c r="AA3266" s="3"/>
      <c r="AB3266" s="3"/>
    </row>
    <row r="3267" spans="1:28" x14ac:dyDescent="0.3">
      <c r="A3267" s="2"/>
      <c r="F3267" s="3"/>
      <c r="G3267" s="3"/>
      <c r="N3267" s="3"/>
      <c r="Q3267" s="3"/>
      <c r="R3267" s="3"/>
      <c r="S3267" s="3"/>
      <c r="V3267" s="3"/>
      <c r="W3267" s="3"/>
      <c r="X3267" s="3"/>
      <c r="Y3267" s="3"/>
      <c r="Z3267" s="3"/>
      <c r="AA3267" s="3"/>
      <c r="AB3267" s="3"/>
    </row>
    <row r="3268" spans="1:28" x14ac:dyDescent="0.3">
      <c r="A3268" s="2"/>
      <c r="F3268" s="3"/>
      <c r="G3268" s="3"/>
      <c r="N3268" s="3"/>
      <c r="Q3268" s="3"/>
      <c r="R3268" s="3"/>
      <c r="S3268" s="3"/>
      <c r="V3268" s="3"/>
      <c r="W3268" s="3"/>
      <c r="X3268" s="3"/>
      <c r="Y3268" s="3"/>
      <c r="Z3268" s="3"/>
      <c r="AA3268" s="3"/>
      <c r="AB3268" s="3"/>
    </row>
    <row r="3269" spans="1:28" x14ac:dyDescent="0.3">
      <c r="A3269" s="2"/>
      <c r="F3269" s="3"/>
      <c r="G3269" s="3"/>
      <c r="N3269" s="3"/>
      <c r="Q3269" s="3"/>
      <c r="R3269" s="3"/>
      <c r="S3269" s="3"/>
      <c r="V3269" s="3"/>
      <c r="W3269" s="3"/>
      <c r="X3269" s="3"/>
      <c r="Y3269" s="3"/>
      <c r="Z3269" s="3"/>
      <c r="AA3269" s="3"/>
      <c r="AB3269" s="3"/>
    </row>
    <row r="3270" spans="1:28" x14ac:dyDescent="0.3">
      <c r="A3270" s="2"/>
      <c r="F3270" s="3"/>
      <c r="G3270" s="3"/>
      <c r="N3270" s="3"/>
      <c r="Q3270" s="3"/>
      <c r="R3270" s="3"/>
      <c r="S3270" s="3"/>
      <c r="V3270" s="3"/>
      <c r="W3270" s="3"/>
      <c r="X3270" s="3"/>
      <c r="Y3270" s="3"/>
      <c r="Z3270" s="3"/>
      <c r="AA3270" s="3"/>
      <c r="AB3270" s="3"/>
    </row>
    <row r="3271" spans="1:28" x14ac:dyDescent="0.3">
      <c r="A3271" s="2"/>
      <c r="F3271" s="3"/>
      <c r="G3271" s="3"/>
      <c r="N3271" s="3"/>
      <c r="Q3271" s="3"/>
      <c r="R3271" s="3"/>
      <c r="S3271" s="3"/>
      <c r="V3271" s="3"/>
      <c r="W3271" s="3"/>
      <c r="X3271" s="3"/>
      <c r="Y3271" s="3"/>
      <c r="Z3271" s="3"/>
      <c r="AA3271" s="3"/>
      <c r="AB3271" s="3"/>
    </row>
    <row r="3272" spans="1:28" x14ac:dyDescent="0.3">
      <c r="A3272" s="2"/>
      <c r="F3272" s="3"/>
      <c r="G3272" s="3"/>
      <c r="N3272" s="3"/>
      <c r="Q3272" s="3"/>
      <c r="R3272" s="3"/>
      <c r="S3272" s="3"/>
      <c r="V3272" s="3"/>
      <c r="W3272" s="3"/>
      <c r="X3272" s="3"/>
      <c r="Y3272" s="3"/>
      <c r="Z3272" s="3"/>
      <c r="AA3272" s="3"/>
      <c r="AB3272" s="3"/>
    </row>
    <row r="3273" spans="1:28" x14ac:dyDescent="0.3">
      <c r="A3273" s="2"/>
      <c r="F3273" s="3"/>
      <c r="G3273" s="3"/>
      <c r="N3273" s="3"/>
      <c r="Q3273" s="3"/>
      <c r="R3273" s="3"/>
      <c r="S3273" s="3"/>
      <c r="V3273" s="3"/>
      <c r="W3273" s="3"/>
      <c r="X3273" s="3"/>
      <c r="Y3273" s="3"/>
      <c r="Z3273" s="3"/>
      <c r="AA3273" s="3"/>
      <c r="AB3273" s="3"/>
    </row>
    <row r="3274" spans="1:28" x14ac:dyDescent="0.3">
      <c r="A3274" s="2"/>
      <c r="F3274" s="3"/>
      <c r="G3274" s="3"/>
      <c r="N3274" s="3"/>
      <c r="Q3274" s="3"/>
      <c r="R3274" s="3"/>
      <c r="S3274" s="3"/>
      <c r="V3274" s="3"/>
      <c r="W3274" s="3"/>
      <c r="X3274" s="3"/>
      <c r="Y3274" s="3"/>
      <c r="Z3274" s="3"/>
      <c r="AA3274" s="3"/>
      <c r="AB3274" s="3"/>
    </row>
    <row r="3275" spans="1:28" x14ac:dyDescent="0.3">
      <c r="A3275" s="2"/>
      <c r="F3275" s="3"/>
      <c r="G3275" s="3"/>
      <c r="N3275" s="3"/>
      <c r="Q3275" s="3"/>
      <c r="R3275" s="3"/>
      <c r="S3275" s="3"/>
      <c r="V3275" s="3"/>
      <c r="W3275" s="3"/>
      <c r="X3275" s="3"/>
      <c r="Y3275" s="3"/>
      <c r="Z3275" s="3"/>
      <c r="AA3275" s="3"/>
      <c r="AB3275" s="3"/>
    </row>
    <row r="3276" spans="1:28" x14ac:dyDescent="0.3">
      <c r="A3276" s="2"/>
      <c r="F3276" s="3"/>
      <c r="G3276" s="3"/>
      <c r="N3276" s="3"/>
      <c r="Q3276" s="3"/>
      <c r="R3276" s="3"/>
      <c r="S3276" s="3"/>
      <c r="V3276" s="3"/>
      <c r="W3276" s="3"/>
      <c r="X3276" s="3"/>
      <c r="Y3276" s="3"/>
      <c r="Z3276" s="3"/>
      <c r="AA3276" s="3"/>
      <c r="AB3276" s="3"/>
    </row>
    <row r="3277" spans="1:28" x14ac:dyDescent="0.3">
      <c r="A3277" s="2"/>
      <c r="F3277" s="3"/>
      <c r="G3277" s="3"/>
      <c r="N3277" s="3"/>
      <c r="Q3277" s="3"/>
      <c r="R3277" s="3"/>
      <c r="S3277" s="3"/>
      <c r="V3277" s="3"/>
      <c r="W3277" s="3"/>
      <c r="X3277" s="3"/>
      <c r="Y3277" s="3"/>
      <c r="Z3277" s="3"/>
      <c r="AA3277" s="3"/>
      <c r="AB3277" s="3"/>
    </row>
    <row r="3278" spans="1:28" x14ac:dyDescent="0.3">
      <c r="A3278" s="2"/>
      <c r="F3278" s="3"/>
      <c r="G3278" s="3"/>
      <c r="N3278" s="3"/>
      <c r="Q3278" s="3"/>
      <c r="R3278" s="3"/>
      <c r="S3278" s="3"/>
      <c r="V3278" s="3"/>
      <c r="W3278" s="3"/>
      <c r="X3278" s="3"/>
      <c r="Y3278" s="3"/>
      <c r="Z3278" s="3"/>
      <c r="AA3278" s="3"/>
      <c r="AB3278" s="3"/>
    </row>
    <row r="3279" spans="1:28" x14ac:dyDescent="0.3">
      <c r="A3279" s="2"/>
      <c r="F3279" s="3"/>
      <c r="G3279" s="3"/>
      <c r="N3279" s="3"/>
      <c r="Q3279" s="3"/>
      <c r="R3279" s="3"/>
      <c r="S3279" s="3"/>
      <c r="V3279" s="3"/>
      <c r="W3279" s="3"/>
      <c r="X3279" s="3"/>
      <c r="Y3279" s="3"/>
      <c r="Z3279" s="3"/>
      <c r="AA3279" s="3"/>
      <c r="AB3279" s="3"/>
    </row>
    <row r="3280" spans="1:28" x14ac:dyDescent="0.3">
      <c r="A3280" s="2"/>
      <c r="F3280" s="3"/>
      <c r="G3280" s="3"/>
      <c r="N3280" s="3"/>
      <c r="Q3280" s="3"/>
      <c r="R3280" s="3"/>
      <c r="S3280" s="3"/>
      <c r="V3280" s="3"/>
      <c r="W3280" s="3"/>
      <c r="X3280" s="3"/>
      <c r="Y3280" s="3"/>
      <c r="Z3280" s="3"/>
      <c r="AA3280" s="3"/>
      <c r="AB3280" s="3"/>
    </row>
    <row r="3281" spans="1:28" x14ac:dyDescent="0.3">
      <c r="A3281" s="2"/>
      <c r="F3281" s="3"/>
      <c r="G3281" s="3"/>
      <c r="N3281" s="3"/>
      <c r="Q3281" s="3"/>
      <c r="R3281" s="3"/>
      <c r="S3281" s="3"/>
      <c r="V3281" s="3"/>
      <c r="W3281" s="3"/>
      <c r="X3281" s="3"/>
      <c r="Y3281" s="3"/>
      <c r="Z3281" s="3"/>
      <c r="AA3281" s="3"/>
      <c r="AB3281" s="3"/>
    </row>
    <row r="3282" spans="1:28" x14ac:dyDescent="0.3">
      <c r="A3282" s="2"/>
      <c r="F3282" s="3"/>
      <c r="G3282" s="3"/>
      <c r="N3282" s="3"/>
      <c r="Q3282" s="3"/>
      <c r="R3282" s="3"/>
      <c r="S3282" s="3"/>
      <c r="V3282" s="3"/>
      <c r="W3282" s="3"/>
      <c r="X3282" s="3"/>
      <c r="Y3282" s="3"/>
      <c r="Z3282" s="3"/>
      <c r="AA3282" s="3"/>
      <c r="AB3282" s="3"/>
    </row>
    <row r="3283" spans="1:28" x14ac:dyDescent="0.3">
      <c r="A3283" s="2"/>
      <c r="F3283" s="3"/>
      <c r="G3283" s="3"/>
      <c r="N3283" s="3"/>
      <c r="Q3283" s="3"/>
      <c r="R3283" s="3"/>
      <c r="S3283" s="3"/>
      <c r="V3283" s="3"/>
      <c r="W3283" s="3"/>
      <c r="X3283" s="3"/>
      <c r="Y3283" s="3"/>
      <c r="Z3283" s="3"/>
      <c r="AA3283" s="3"/>
      <c r="AB3283" s="3"/>
    </row>
    <row r="3284" spans="1:28" x14ac:dyDescent="0.3">
      <c r="A3284" s="2"/>
      <c r="F3284" s="3"/>
      <c r="G3284" s="3"/>
      <c r="N3284" s="3"/>
      <c r="Q3284" s="3"/>
      <c r="R3284" s="3"/>
      <c r="S3284" s="3"/>
      <c r="V3284" s="3"/>
      <c r="W3284" s="3"/>
      <c r="X3284" s="3"/>
      <c r="Y3284" s="3"/>
      <c r="Z3284" s="3"/>
      <c r="AA3284" s="3"/>
      <c r="AB3284" s="3"/>
    </row>
    <row r="3285" spans="1:28" x14ac:dyDescent="0.3">
      <c r="A3285" s="2"/>
      <c r="F3285" s="3"/>
      <c r="G3285" s="3"/>
      <c r="N3285" s="3"/>
      <c r="Q3285" s="3"/>
      <c r="R3285" s="3"/>
      <c r="S3285" s="3"/>
      <c r="V3285" s="3"/>
      <c r="W3285" s="3"/>
      <c r="X3285" s="3"/>
      <c r="Y3285" s="3"/>
      <c r="Z3285" s="3"/>
      <c r="AA3285" s="3"/>
      <c r="AB3285" s="3"/>
    </row>
    <row r="3286" spans="1:28" x14ac:dyDescent="0.3">
      <c r="A3286" s="2"/>
      <c r="F3286" s="3"/>
      <c r="G3286" s="3"/>
      <c r="N3286" s="3"/>
      <c r="Q3286" s="3"/>
      <c r="R3286" s="3"/>
      <c r="S3286" s="3"/>
      <c r="V3286" s="3"/>
      <c r="W3286" s="3"/>
      <c r="X3286" s="3"/>
      <c r="Y3286" s="3"/>
      <c r="Z3286" s="3"/>
      <c r="AA3286" s="3"/>
      <c r="AB3286" s="3"/>
    </row>
    <row r="3287" spans="1:28" x14ac:dyDescent="0.3">
      <c r="A3287" s="2"/>
      <c r="F3287" s="3"/>
      <c r="G3287" s="3"/>
      <c r="N3287" s="3"/>
      <c r="Q3287" s="3"/>
      <c r="R3287" s="3"/>
      <c r="S3287" s="3"/>
      <c r="V3287" s="3"/>
      <c r="W3287" s="3"/>
      <c r="X3287" s="3"/>
      <c r="Y3287" s="3"/>
      <c r="Z3287" s="3"/>
      <c r="AA3287" s="3"/>
      <c r="AB3287" s="3"/>
    </row>
    <row r="3288" spans="1:28" x14ac:dyDescent="0.3">
      <c r="A3288" s="2"/>
      <c r="F3288" s="3"/>
      <c r="G3288" s="3"/>
      <c r="N3288" s="3"/>
      <c r="Q3288" s="3"/>
      <c r="R3288" s="3"/>
      <c r="S3288" s="3"/>
      <c r="V3288" s="3"/>
      <c r="W3288" s="3"/>
      <c r="X3288" s="3"/>
      <c r="Y3288" s="3"/>
      <c r="Z3288" s="3"/>
      <c r="AA3288" s="3"/>
      <c r="AB3288" s="3"/>
    </row>
    <row r="3289" spans="1:28" x14ac:dyDescent="0.3">
      <c r="A3289" s="2"/>
      <c r="F3289" s="3"/>
      <c r="G3289" s="3"/>
      <c r="N3289" s="3"/>
      <c r="Q3289" s="3"/>
      <c r="R3289" s="3"/>
      <c r="S3289" s="3"/>
      <c r="V3289" s="3"/>
      <c r="W3289" s="3"/>
      <c r="X3289" s="3"/>
      <c r="Y3289" s="3"/>
      <c r="Z3289" s="3"/>
      <c r="AA3289" s="3"/>
      <c r="AB3289" s="3"/>
    </row>
    <row r="3290" spans="1:28" x14ac:dyDescent="0.3">
      <c r="A3290" s="2"/>
      <c r="F3290" s="3"/>
      <c r="G3290" s="3"/>
      <c r="N3290" s="3"/>
      <c r="Q3290" s="3"/>
      <c r="R3290" s="3"/>
      <c r="S3290" s="3"/>
      <c r="V3290" s="3"/>
      <c r="W3290" s="3"/>
      <c r="X3290" s="3"/>
      <c r="Y3290" s="3"/>
      <c r="Z3290" s="3"/>
      <c r="AA3290" s="3"/>
      <c r="AB3290" s="3"/>
    </row>
    <row r="3291" spans="1:28" x14ac:dyDescent="0.3">
      <c r="A3291" s="2"/>
      <c r="F3291" s="3"/>
      <c r="G3291" s="3"/>
      <c r="N3291" s="3"/>
      <c r="Q3291" s="3"/>
      <c r="R3291" s="3"/>
      <c r="S3291" s="3"/>
      <c r="V3291" s="3"/>
      <c r="W3291" s="3"/>
      <c r="X3291" s="3"/>
      <c r="Y3291" s="3"/>
      <c r="Z3291" s="3"/>
      <c r="AA3291" s="3"/>
      <c r="AB3291" s="3"/>
    </row>
    <row r="3292" spans="1:28" x14ac:dyDescent="0.3">
      <c r="A3292" s="2"/>
      <c r="F3292" s="3"/>
      <c r="G3292" s="3"/>
      <c r="N3292" s="3"/>
      <c r="Q3292" s="3"/>
      <c r="R3292" s="3"/>
      <c r="S3292" s="3"/>
      <c r="V3292" s="3"/>
      <c r="W3292" s="3"/>
      <c r="X3292" s="3"/>
      <c r="Y3292" s="3"/>
      <c r="Z3292" s="3"/>
      <c r="AA3292" s="3"/>
      <c r="AB3292" s="3"/>
    </row>
    <row r="3293" spans="1:28" x14ac:dyDescent="0.3">
      <c r="A3293" s="2"/>
      <c r="F3293" s="3"/>
      <c r="G3293" s="3"/>
      <c r="N3293" s="3"/>
      <c r="Q3293" s="3"/>
      <c r="R3293" s="3"/>
      <c r="S3293" s="3"/>
      <c r="V3293" s="3"/>
      <c r="W3293" s="3"/>
      <c r="X3293" s="3"/>
      <c r="Y3293" s="3"/>
      <c r="Z3293" s="3"/>
      <c r="AA3293" s="3"/>
      <c r="AB3293" s="3"/>
    </row>
    <row r="3294" spans="1:28" x14ac:dyDescent="0.3">
      <c r="A3294" s="2"/>
      <c r="F3294" s="3"/>
      <c r="G3294" s="3"/>
      <c r="N3294" s="3"/>
      <c r="Q3294" s="3"/>
      <c r="R3294" s="3"/>
      <c r="S3294" s="3"/>
      <c r="V3294" s="3"/>
      <c r="W3294" s="3"/>
      <c r="X3294" s="3"/>
      <c r="Y3294" s="3"/>
      <c r="Z3294" s="3"/>
      <c r="AA3294" s="3"/>
      <c r="AB3294" s="3"/>
    </row>
    <row r="3295" spans="1:28" x14ac:dyDescent="0.3">
      <c r="A3295" s="2"/>
      <c r="F3295" s="3"/>
      <c r="G3295" s="3"/>
      <c r="N3295" s="3"/>
      <c r="Q3295" s="3"/>
      <c r="R3295" s="3"/>
      <c r="S3295" s="3"/>
      <c r="V3295" s="3"/>
      <c r="W3295" s="3"/>
      <c r="X3295" s="3"/>
      <c r="Y3295" s="3"/>
      <c r="Z3295" s="3"/>
      <c r="AA3295" s="3"/>
      <c r="AB3295" s="3"/>
    </row>
    <row r="3296" spans="1:28" x14ac:dyDescent="0.3">
      <c r="A3296" s="2"/>
      <c r="F3296" s="3"/>
      <c r="G3296" s="3"/>
      <c r="N3296" s="3"/>
      <c r="Q3296" s="3"/>
      <c r="R3296" s="3"/>
      <c r="S3296" s="3"/>
      <c r="V3296" s="3"/>
      <c r="W3296" s="3"/>
      <c r="X3296" s="3"/>
      <c r="Y3296" s="3"/>
      <c r="Z3296" s="3"/>
      <c r="AA3296" s="3"/>
      <c r="AB3296" s="3"/>
    </row>
    <row r="3297" spans="1:28" x14ac:dyDescent="0.3">
      <c r="A3297" s="2"/>
      <c r="F3297" s="3"/>
      <c r="G3297" s="3"/>
      <c r="N3297" s="3"/>
      <c r="Q3297" s="3"/>
      <c r="R3297" s="3"/>
      <c r="S3297" s="3"/>
      <c r="V3297" s="3"/>
      <c r="W3297" s="3"/>
      <c r="X3297" s="3"/>
      <c r="Y3297" s="3"/>
      <c r="Z3297" s="3"/>
      <c r="AA3297" s="3"/>
      <c r="AB3297" s="3"/>
    </row>
    <row r="3298" spans="1:28" x14ac:dyDescent="0.3">
      <c r="A3298" s="2"/>
      <c r="F3298" s="3"/>
      <c r="G3298" s="3"/>
      <c r="N3298" s="3"/>
      <c r="Q3298" s="3"/>
      <c r="R3298" s="3"/>
      <c r="S3298" s="3"/>
      <c r="V3298" s="3"/>
      <c r="W3298" s="3"/>
      <c r="X3298" s="3"/>
      <c r="Y3298" s="3"/>
      <c r="Z3298" s="3"/>
      <c r="AA3298" s="3"/>
      <c r="AB3298" s="3"/>
    </row>
    <row r="3299" spans="1:28" x14ac:dyDescent="0.3">
      <c r="A3299" s="2"/>
      <c r="F3299" s="3"/>
      <c r="G3299" s="3"/>
      <c r="N3299" s="3"/>
      <c r="Q3299" s="3"/>
      <c r="R3299" s="3"/>
      <c r="S3299" s="3"/>
      <c r="V3299" s="3"/>
      <c r="W3299" s="3"/>
      <c r="X3299" s="3"/>
      <c r="Y3299" s="3"/>
      <c r="Z3299" s="3"/>
      <c r="AA3299" s="3"/>
      <c r="AB3299" s="3"/>
    </row>
    <row r="3300" spans="1:28" x14ac:dyDescent="0.3">
      <c r="A3300" s="2"/>
      <c r="F3300" s="3"/>
      <c r="G3300" s="3"/>
      <c r="N3300" s="3"/>
      <c r="Q3300" s="3"/>
      <c r="R3300" s="3"/>
      <c r="S3300" s="3"/>
      <c r="V3300" s="3"/>
      <c r="W3300" s="3"/>
      <c r="X3300" s="3"/>
      <c r="Y3300" s="3"/>
      <c r="Z3300" s="3"/>
      <c r="AA3300" s="3"/>
      <c r="AB3300" s="3"/>
    </row>
    <row r="3301" spans="1:28" x14ac:dyDescent="0.3">
      <c r="A3301" s="2"/>
      <c r="F3301" s="3"/>
      <c r="G3301" s="3"/>
      <c r="N3301" s="3"/>
      <c r="Q3301" s="3"/>
      <c r="R3301" s="3"/>
      <c r="S3301" s="3"/>
      <c r="V3301" s="3"/>
      <c r="W3301" s="3"/>
      <c r="X3301" s="3"/>
      <c r="Y3301" s="3"/>
      <c r="Z3301" s="3"/>
      <c r="AA3301" s="3"/>
      <c r="AB3301" s="3"/>
    </row>
    <row r="3302" spans="1:28" x14ac:dyDescent="0.3">
      <c r="A3302" s="2"/>
      <c r="F3302" s="3"/>
      <c r="G3302" s="3"/>
      <c r="N3302" s="3"/>
      <c r="Q3302" s="3"/>
      <c r="R3302" s="3"/>
      <c r="S3302" s="3"/>
      <c r="V3302" s="3"/>
      <c r="W3302" s="3"/>
      <c r="X3302" s="3"/>
      <c r="Y3302" s="3"/>
      <c r="Z3302" s="3"/>
      <c r="AA3302" s="3"/>
      <c r="AB3302" s="3"/>
    </row>
    <row r="3303" spans="1:28" x14ac:dyDescent="0.3">
      <c r="A3303" s="2"/>
      <c r="F3303" s="3"/>
      <c r="G3303" s="3"/>
      <c r="N3303" s="3"/>
      <c r="Q3303" s="3"/>
      <c r="R3303" s="3"/>
      <c r="S3303" s="3"/>
      <c r="V3303" s="3"/>
      <c r="W3303" s="3"/>
      <c r="X3303" s="3"/>
      <c r="Y3303" s="3"/>
      <c r="Z3303" s="3"/>
      <c r="AA3303" s="3"/>
      <c r="AB3303" s="3"/>
    </row>
    <row r="3304" spans="1:28" x14ac:dyDescent="0.3">
      <c r="A3304" s="2"/>
      <c r="F3304" s="3"/>
      <c r="G3304" s="3"/>
      <c r="N3304" s="3"/>
      <c r="Q3304" s="3"/>
      <c r="R3304" s="3"/>
      <c r="S3304" s="3"/>
      <c r="V3304" s="3"/>
      <c r="W3304" s="3"/>
      <c r="X3304" s="3"/>
      <c r="Y3304" s="3"/>
      <c r="Z3304" s="3"/>
      <c r="AA3304" s="3"/>
      <c r="AB3304" s="3"/>
    </row>
    <row r="3305" spans="1:28" x14ac:dyDescent="0.3">
      <c r="A3305" s="2"/>
      <c r="F3305" s="3"/>
      <c r="G3305" s="3"/>
      <c r="N3305" s="3"/>
      <c r="Q3305" s="3"/>
      <c r="R3305" s="3"/>
      <c r="S3305" s="3"/>
      <c r="V3305" s="3"/>
      <c r="W3305" s="3"/>
      <c r="X3305" s="3"/>
      <c r="Y3305" s="3"/>
      <c r="Z3305" s="3"/>
      <c r="AA3305" s="3"/>
      <c r="AB3305" s="3"/>
    </row>
    <row r="3306" spans="1:28" x14ac:dyDescent="0.3">
      <c r="A3306" s="2"/>
      <c r="F3306" s="3"/>
      <c r="G3306" s="3"/>
      <c r="N3306" s="3"/>
      <c r="Q3306" s="3"/>
      <c r="R3306" s="3"/>
      <c r="S3306" s="3"/>
      <c r="V3306" s="3"/>
      <c r="W3306" s="3"/>
      <c r="X3306" s="3"/>
      <c r="Y3306" s="3"/>
      <c r="Z3306" s="3"/>
      <c r="AA3306" s="3"/>
      <c r="AB3306" s="3"/>
    </row>
    <row r="3307" spans="1:28" x14ac:dyDescent="0.3">
      <c r="A3307" s="2"/>
      <c r="F3307" s="3"/>
      <c r="G3307" s="3"/>
      <c r="N3307" s="3"/>
      <c r="Q3307" s="3"/>
      <c r="R3307" s="3"/>
      <c r="S3307" s="3"/>
      <c r="V3307" s="3"/>
      <c r="W3307" s="3"/>
      <c r="X3307" s="3"/>
      <c r="Y3307" s="3"/>
      <c r="Z3307" s="3"/>
      <c r="AA3307" s="3"/>
      <c r="AB3307" s="3"/>
    </row>
    <row r="3308" spans="1:28" x14ac:dyDescent="0.3">
      <c r="A3308" s="2"/>
      <c r="F3308" s="3"/>
      <c r="G3308" s="3"/>
      <c r="N3308" s="3"/>
      <c r="Q3308" s="3"/>
      <c r="R3308" s="3"/>
      <c r="S3308" s="3"/>
      <c r="V3308" s="3"/>
      <c r="W3308" s="3"/>
      <c r="X3308" s="3"/>
      <c r="Y3308" s="3"/>
      <c r="Z3308" s="3"/>
      <c r="AA3308" s="3"/>
      <c r="AB3308" s="3"/>
    </row>
    <row r="3309" spans="1:28" x14ac:dyDescent="0.3">
      <c r="A3309" s="2"/>
      <c r="F3309" s="3"/>
      <c r="G3309" s="3"/>
      <c r="N3309" s="3"/>
      <c r="Q3309" s="3"/>
      <c r="R3309" s="3"/>
      <c r="S3309" s="3"/>
      <c r="V3309" s="3"/>
      <c r="W3309" s="3"/>
      <c r="X3309" s="3"/>
      <c r="Y3309" s="3"/>
      <c r="Z3309" s="3"/>
      <c r="AA3309" s="3"/>
      <c r="AB3309" s="3"/>
    </row>
    <row r="3310" spans="1:28" x14ac:dyDescent="0.3">
      <c r="A3310" s="2"/>
      <c r="F3310" s="3"/>
      <c r="G3310" s="3"/>
      <c r="N3310" s="3"/>
      <c r="Q3310" s="3"/>
      <c r="R3310" s="3"/>
      <c r="S3310" s="3"/>
      <c r="V3310" s="3"/>
      <c r="W3310" s="3"/>
      <c r="X3310" s="3"/>
      <c r="Y3310" s="3"/>
      <c r="Z3310" s="3"/>
      <c r="AA3310" s="3"/>
      <c r="AB3310" s="3"/>
    </row>
    <row r="3311" spans="1:28" x14ac:dyDescent="0.3">
      <c r="A3311" s="2"/>
      <c r="F3311" s="3"/>
      <c r="G3311" s="3"/>
      <c r="N3311" s="3"/>
      <c r="Q3311" s="3"/>
      <c r="R3311" s="3"/>
      <c r="S3311" s="3"/>
      <c r="V3311" s="3"/>
      <c r="W3311" s="3"/>
      <c r="X3311" s="3"/>
      <c r="Y3311" s="3"/>
      <c r="Z3311" s="3"/>
      <c r="AA3311" s="3"/>
      <c r="AB3311" s="3"/>
    </row>
    <row r="3312" spans="1:28" x14ac:dyDescent="0.3">
      <c r="A3312" s="2"/>
      <c r="F3312" s="3"/>
      <c r="G3312" s="3"/>
      <c r="N3312" s="3"/>
      <c r="Q3312" s="3"/>
      <c r="R3312" s="3"/>
      <c r="S3312" s="3"/>
      <c r="V3312" s="3"/>
      <c r="W3312" s="3"/>
      <c r="X3312" s="3"/>
      <c r="Y3312" s="3"/>
      <c r="Z3312" s="3"/>
      <c r="AA3312" s="3"/>
      <c r="AB3312" s="3"/>
    </row>
    <row r="3313" spans="1:28" x14ac:dyDescent="0.3">
      <c r="A3313" s="2"/>
      <c r="F3313" s="3"/>
      <c r="G3313" s="3"/>
      <c r="N3313" s="3"/>
      <c r="Q3313" s="3"/>
      <c r="R3313" s="3"/>
      <c r="S3313" s="3"/>
      <c r="V3313" s="3"/>
      <c r="W3313" s="3"/>
      <c r="X3313" s="3"/>
      <c r="Y3313" s="3"/>
      <c r="Z3313" s="3"/>
      <c r="AA3313" s="3"/>
      <c r="AB3313" s="3"/>
    </row>
    <row r="3314" spans="1:28" x14ac:dyDescent="0.3">
      <c r="A3314" s="2"/>
      <c r="F3314" s="3"/>
      <c r="G3314" s="3"/>
      <c r="N3314" s="3"/>
      <c r="Q3314" s="3"/>
      <c r="R3314" s="3"/>
      <c r="S3314" s="3"/>
      <c r="V3314" s="3"/>
      <c r="W3314" s="3"/>
      <c r="X3314" s="3"/>
      <c r="Y3314" s="3"/>
      <c r="Z3314" s="3"/>
      <c r="AA3314" s="3"/>
      <c r="AB3314" s="3"/>
    </row>
    <row r="3315" spans="1:28" x14ac:dyDescent="0.3">
      <c r="A3315" s="2"/>
      <c r="F3315" s="3"/>
      <c r="G3315" s="3"/>
      <c r="N3315" s="3"/>
      <c r="Q3315" s="3"/>
      <c r="R3315" s="3"/>
      <c r="S3315" s="3"/>
      <c r="V3315" s="3"/>
      <c r="W3315" s="3"/>
      <c r="X3315" s="3"/>
      <c r="Y3315" s="3"/>
      <c r="Z3315" s="3"/>
      <c r="AA3315" s="3"/>
      <c r="AB3315" s="3"/>
    </row>
    <row r="3316" spans="1:28" x14ac:dyDescent="0.3">
      <c r="A3316" s="2"/>
      <c r="F3316" s="3"/>
      <c r="G3316" s="3"/>
      <c r="N3316" s="3"/>
      <c r="Q3316" s="3"/>
      <c r="R3316" s="3"/>
      <c r="S3316" s="3"/>
      <c r="V3316" s="3"/>
      <c r="W3316" s="3"/>
      <c r="X3316" s="3"/>
      <c r="Y3316" s="3"/>
      <c r="Z3316" s="3"/>
      <c r="AA3316" s="3"/>
      <c r="AB3316" s="3"/>
    </row>
    <row r="3317" spans="1:28" x14ac:dyDescent="0.3">
      <c r="A3317" s="2"/>
      <c r="F3317" s="3"/>
      <c r="G3317" s="3"/>
      <c r="N3317" s="3"/>
      <c r="Q3317" s="3"/>
      <c r="R3317" s="3"/>
      <c r="S3317" s="3"/>
      <c r="V3317" s="3"/>
      <c r="W3317" s="3"/>
      <c r="X3317" s="3"/>
      <c r="Y3317" s="3"/>
      <c r="Z3317" s="3"/>
      <c r="AA3317" s="3"/>
      <c r="AB3317" s="3"/>
    </row>
    <row r="3318" spans="1:28" x14ac:dyDescent="0.3">
      <c r="A3318" s="2"/>
      <c r="F3318" s="3"/>
      <c r="G3318" s="3"/>
      <c r="N3318" s="3"/>
      <c r="Q3318" s="3"/>
      <c r="R3318" s="3"/>
      <c r="S3318" s="3"/>
      <c r="V3318" s="3"/>
      <c r="W3318" s="3"/>
      <c r="X3318" s="3"/>
      <c r="Y3318" s="3"/>
      <c r="Z3318" s="3"/>
      <c r="AA3318" s="3"/>
      <c r="AB3318" s="3"/>
    </row>
    <row r="3319" spans="1:28" x14ac:dyDescent="0.3">
      <c r="A3319" s="2"/>
      <c r="F3319" s="3"/>
      <c r="G3319" s="3"/>
      <c r="N3319" s="3"/>
      <c r="Q3319" s="3"/>
      <c r="R3319" s="3"/>
      <c r="S3319" s="3"/>
      <c r="V3319" s="3"/>
      <c r="W3319" s="3"/>
      <c r="X3319" s="3"/>
      <c r="Y3319" s="3"/>
      <c r="Z3319" s="3"/>
      <c r="AA3319" s="3"/>
      <c r="AB3319" s="3"/>
    </row>
    <row r="3320" spans="1:28" x14ac:dyDescent="0.3">
      <c r="A3320" s="2"/>
      <c r="F3320" s="3"/>
      <c r="G3320" s="3"/>
      <c r="N3320" s="3"/>
      <c r="Q3320" s="3"/>
      <c r="R3320" s="3"/>
      <c r="S3320" s="3"/>
      <c r="V3320" s="3"/>
      <c r="W3320" s="3"/>
      <c r="X3320" s="3"/>
      <c r="Y3320" s="3"/>
      <c r="Z3320" s="3"/>
      <c r="AA3320" s="3"/>
      <c r="AB3320" s="3"/>
    </row>
    <row r="3321" spans="1:28" x14ac:dyDescent="0.3">
      <c r="A3321" s="2"/>
      <c r="F3321" s="3"/>
      <c r="G3321" s="3"/>
      <c r="N3321" s="3"/>
      <c r="Q3321" s="3"/>
      <c r="R3321" s="3"/>
      <c r="S3321" s="3"/>
      <c r="V3321" s="3"/>
      <c r="W3321" s="3"/>
      <c r="X3321" s="3"/>
      <c r="Y3321" s="3"/>
      <c r="Z3321" s="3"/>
      <c r="AA3321" s="3"/>
      <c r="AB3321" s="3"/>
    </row>
    <row r="3322" spans="1:28" x14ac:dyDescent="0.3">
      <c r="A3322" s="2"/>
      <c r="F3322" s="3"/>
      <c r="G3322" s="3"/>
      <c r="N3322" s="3"/>
      <c r="Q3322" s="3"/>
      <c r="R3322" s="3"/>
      <c r="S3322" s="3"/>
      <c r="V3322" s="3"/>
      <c r="W3322" s="3"/>
      <c r="X3322" s="3"/>
      <c r="Y3322" s="3"/>
      <c r="Z3322" s="3"/>
      <c r="AA3322" s="3"/>
      <c r="AB3322" s="3"/>
    </row>
    <row r="3323" spans="1:28" x14ac:dyDescent="0.3">
      <c r="A3323" s="2"/>
      <c r="F3323" s="3"/>
      <c r="G3323" s="3"/>
      <c r="N3323" s="3"/>
      <c r="Q3323" s="3"/>
      <c r="R3323" s="3"/>
      <c r="S3323" s="3"/>
      <c r="V3323" s="3"/>
      <c r="W3323" s="3"/>
      <c r="X3323" s="3"/>
      <c r="Y3323" s="3"/>
      <c r="Z3323" s="3"/>
      <c r="AA3323" s="3"/>
      <c r="AB3323" s="3"/>
    </row>
    <row r="3324" spans="1:28" x14ac:dyDescent="0.3">
      <c r="A3324" s="2"/>
      <c r="F3324" s="3"/>
      <c r="G3324" s="3"/>
      <c r="N3324" s="3"/>
      <c r="Q3324" s="3"/>
      <c r="R3324" s="3"/>
      <c r="S3324" s="3"/>
      <c r="V3324" s="3"/>
      <c r="W3324" s="3"/>
      <c r="X3324" s="3"/>
      <c r="Y3324" s="3"/>
      <c r="Z3324" s="3"/>
      <c r="AA3324" s="3"/>
      <c r="AB3324" s="3"/>
    </row>
    <row r="3325" spans="1:28" x14ac:dyDescent="0.3">
      <c r="A3325" s="2"/>
      <c r="F3325" s="3"/>
      <c r="G3325" s="3"/>
      <c r="N3325" s="3"/>
      <c r="Q3325" s="3"/>
      <c r="R3325" s="3"/>
      <c r="S3325" s="3"/>
      <c r="V3325" s="3"/>
      <c r="W3325" s="3"/>
      <c r="X3325" s="3"/>
      <c r="Y3325" s="3"/>
      <c r="Z3325" s="3"/>
      <c r="AA3325" s="3"/>
      <c r="AB3325" s="3"/>
    </row>
    <row r="3326" spans="1:28" x14ac:dyDescent="0.3">
      <c r="A3326" s="2"/>
      <c r="F3326" s="3"/>
      <c r="G3326" s="3"/>
      <c r="N3326" s="3"/>
      <c r="Q3326" s="3"/>
      <c r="R3326" s="3"/>
      <c r="S3326" s="3"/>
      <c r="V3326" s="3"/>
      <c r="W3326" s="3"/>
      <c r="X3326" s="3"/>
      <c r="Y3326" s="3"/>
      <c r="Z3326" s="3"/>
      <c r="AA3326" s="3"/>
      <c r="AB3326" s="3"/>
    </row>
    <row r="3327" spans="1:28" x14ac:dyDescent="0.3">
      <c r="A3327" s="2"/>
      <c r="F3327" s="3"/>
      <c r="G3327" s="3"/>
      <c r="N3327" s="3"/>
      <c r="Q3327" s="3"/>
      <c r="R3327" s="3"/>
      <c r="S3327" s="3"/>
      <c r="V3327" s="3"/>
      <c r="W3327" s="3"/>
      <c r="X3327" s="3"/>
      <c r="Y3327" s="3"/>
      <c r="Z3327" s="3"/>
      <c r="AA3327" s="3"/>
      <c r="AB3327" s="3"/>
    </row>
    <row r="3328" spans="1:28" x14ac:dyDescent="0.3">
      <c r="A3328" s="2"/>
      <c r="F3328" s="3"/>
      <c r="G3328" s="3"/>
      <c r="N3328" s="3"/>
      <c r="Q3328" s="3"/>
      <c r="R3328" s="3"/>
      <c r="S3328" s="3"/>
      <c r="V3328" s="3"/>
      <c r="W3328" s="3"/>
      <c r="X3328" s="3"/>
      <c r="Y3328" s="3"/>
      <c r="Z3328" s="3"/>
      <c r="AA3328" s="3"/>
      <c r="AB3328" s="3"/>
    </row>
    <row r="3329" spans="1:28" x14ac:dyDescent="0.3">
      <c r="A3329" s="2"/>
      <c r="F3329" s="3"/>
      <c r="G3329" s="3"/>
      <c r="N3329" s="3"/>
      <c r="Q3329" s="3"/>
      <c r="R3329" s="3"/>
      <c r="S3329" s="3"/>
      <c r="V3329" s="3"/>
      <c r="W3329" s="3"/>
      <c r="X3329" s="3"/>
      <c r="Y3329" s="3"/>
      <c r="Z3329" s="3"/>
      <c r="AA3329" s="3"/>
      <c r="AB3329" s="3"/>
    </row>
    <row r="3330" spans="1:28" x14ac:dyDescent="0.3">
      <c r="A3330" s="2"/>
      <c r="F3330" s="3"/>
      <c r="G3330" s="3"/>
      <c r="N3330" s="3"/>
      <c r="Q3330" s="3"/>
      <c r="R3330" s="3"/>
      <c r="S3330" s="3"/>
      <c r="V3330" s="3"/>
      <c r="W3330" s="3"/>
      <c r="X3330" s="3"/>
      <c r="Y3330" s="3"/>
      <c r="Z3330" s="3"/>
      <c r="AA3330" s="3"/>
      <c r="AB3330" s="3"/>
    </row>
    <row r="3331" spans="1:28" x14ac:dyDescent="0.3">
      <c r="A3331" s="2"/>
      <c r="F3331" s="3"/>
      <c r="G3331" s="3"/>
      <c r="N3331" s="3"/>
      <c r="Q3331" s="3"/>
      <c r="R3331" s="3"/>
      <c r="S3331" s="3"/>
      <c r="V3331" s="3"/>
      <c r="W3331" s="3"/>
      <c r="X3331" s="3"/>
      <c r="Y3331" s="3"/>
      <c r="Z3331" s="3"/>
      <c r="AA3331" s="3"/>
      <c r="AB3331" s="3"/>
    </row>
    <row r="3332" spans="1:28" x14ac:dyDescent="0.3">
      <c r="A3332" s="2"/>
      <c r="F3332" s="3"/>
      <c r="G3332" s="3"/>
      <c r="N3332" s="3"/>
      <c r="Q3332" s="3"/>
      <c r="R3332" s="3"/>
      <c r="S3332" s="3"/>
      <c r="V3332" s="3"/>
      <c r="W3332" s="3"/>
      <c r="X3332" s="3"/>
      <c r="Y3332" s="3"/>
      <c r="Z3332" s="3"/>
      <c r="AA3332" s="3"/>
      <c r="AB3332" s="3"/>
    </row>
    <row r="3333" spans="1:28" x14ac:dyDescent="0.3">
      <c r="A3333" s="2"/>
      <c r="F3333" s="3"/>
      <c r="G3333" s="3"/>
      <c r="N3333" s="3"/>
      <c r="Q3333" s="3"/>
      <c r="R3333" s="3"/>
      <c r="S3333" s="3"/>
      <c r="V3333" s="3"/>
      <c r="W3333" s="3"/>
      <c r="X3333" s="3"/>
      <c r="Y3333" s="3"/>
      <c r="Z3333" s="3"/>
      <c r="AA3333" s="3"/>
      <c r="AB3333" s="3"/>
    </row>
    <row r="3334" spans="1:28" x14ac:dyDescent="0.3">
      <c r="A3334" s="2"/>
      <c r="F3334" s="3"/>
      <c r="G3334" s="3"/>
      <c r="N3334" s="3"/>
      <c r="Q3334" s="3"/>
      <c r="R3334" s="3"/>
      <c r="S3334" s="3"/>
      <c r="V3334" s="3"/>
      <c r="W3334" s="3"/>
      <c r="X3334" s="3"/>
      <c r="Y3334" s="3"/>
      <c r="Z3334" s="3"/>
      <c r="AA3334" s="3"/>
      <c r="AB3334" s="3"/>
    </row>
    <row r="3335" spans="1:28" x14ac:dyDescent="0.3">
      <c r="A3335" s="2"/>
      <c r="F3335" s="3"/>
      <c r="G3335" s="3"/>
      <c r="N3335" s="3"/>
      <c r="Q3335" s="3"/>
      <c r="R3335" s="3"/>
      <c r="S3335" s="3"/>
      <c r="V3335" s="3"/>
      <c r="W3335" s="3"/>
      <c r="X3335" s="3"/>
      <c r="Y3335" s="3"/>
      <c r="Z3335" s="3"/>
      <c r="AA3335" s="3"/>
      <c r="AB3335" s="3"/>
    </row>
    <row r="3336" spans="1:28" x14ac:dyDescent="0.3">
      <c r="A3336" s="2"/>
      <c r="F3336" s="3"/>
      <c r="G3336" s="3"/>
      <c r="N3336" s="3"/>
      <c r="Q3336" s="3"/>
      <c r="R3336" s="3"/>
      <c r="S3336" s="3"/>
      <c r="V3336" s="3"/>
      <c r="W3336" s="3"/>
      <c r="X3336" s="3"/>
      <c r="Y3336" s="3"/>
      <c r="Z3336" s="3"/>
      <c r="AA3336" s="3"/>
      <c r="AB3336" s="3"/>
    </row>
    <row r="3337" spans="1:28" x14ac:dyDescent="0.3">
      <c r="A3337" s="2"/>
      <c r="F3337" s="3"/>
      <c r="G3337" s="3"/>
      <c r="N3337" s="3"/>
      <c r="Q3337" s="3"/>
      <c r="R3337" s="3"/>
      <c r="S3337" s="3"/>
      <c r="V3337" s="3"/>
      <c r="W3337" s="3"/>
      <c r="X3337" s="3"/>
      <c r="Y3337" s="3"/>
      <c r="Z3337" s="3"/>
      <c r="AA3337" s="3"/>
      <c r="AB3337" s="3"/>
    </row>
    <row r="3338" spans="1:28" x14ac:dyDescent="0.3">
      <c r="A3338" s="2"/>
      <c r="F3338" s="3"/>
      <c r="G3338" s="3"/>
      <c r="N3338" s="3"/>
      <c r="Q3338" s="3"/>
      <c r="R3338" s="3"/>
      <c r="S3338" s="3"/>
      <c r="V3338" s="3"/>
      <c r="W3338" s="3"/>
      <c r="X3338" s="3"/>
      <c r="Y3338" s="3"/>
      <c r="Z3338" s="3"/>
      <c r="AA3338" s="3"/>
      <c r="AB3338" s="3"/>
    </row>
    <row r="3339" spans="1:28" x14ac:dyDescent="0.3">
      <c r="A3339" s="2"/>
      <c r="F3339" s="3"/>
      <c r="G3339" s="3"/>
      <c r="N3339" s="3"/>
      <c r="Q3339" s="3"/>
      <c r="R3339" s="3"/>
      <c r="S3339" s="3"/>
      <c r="V3339" s="3"/>
      <c r="W3339" s="3"/>
      <c r="X3339" s="3"/>
      <c r="Y3339" s="3"/>
      <c r="Z3339" s="3"/>
      <c r="AA3339" s="3"/>
      <c r="AB3339" s="3"/>
    </row>
    <row r="3340" spans="1:28" x14ac:dyDescent="0.3">
      <c r="A3340" s="2"/>
      <c r="F3340" s="3"/>
      <c r="G3340" s="3"/>
      <c r="N3340" s="3"/>
      <c r="Q3340" s="3"/>
      <c r="R3340" s="3"/>
      <c r="S3340" s="3"/>
      <c r="V3340" s="3"/>
      <c r="W3340" s="3"/>
      <c r="X3340" s="3"/>
      <c r="Y3340" s="3"/>
      <c r="Z3340" s="3"/>
      <c r="AA3340" s="3"/>
      <c r="AB3340" s="3"/>
    </row>
    <row r="3341" spans="1:28" x14ac:dyDescent="0.3">
      <c r="A3341" s="2"/>
      <c r="F3341" s="3"/>
      <c r="G3341" s="3"/>
      <c r="N3341" s="3"/>
      <c r="Q3341" s="3"/>
      <c r="R3341" s="3"/>
      <c r="S3341" s="3"/>
      <c r="V3341" s="3"/>
      <c r="W3341" s="3"/>
      <c r="X3341" s="3"/>
      <c r="Y3341" s="3"/>
      <c r="Z3341" s="3"/>
      <c r="AA3341" s="3"/>
      <c r="AB3341" s="3"/>
    </row>
    <row r="3342" spans="1:28" x14ac:dyDescent="0.3">
      <c r="A3342" s="2"/>
      <c r="F3342" s="3"/>
      <c r="G3342" s="3"/>
      <c r="N3342" s="3"/>
      <c r="Q3342" s="3"/>
      <c r="R3342" s="3"/>
      <c r="S3342" s="3"/>
      <c r="V3342" s="3"/>
      <c r="W3342" s="3"/>
      <c r="X3342" s="3"/>
      <c r="Y3342" s="3"/>
      <c r="Z3342" s="3"/>
      <c r="AA3342" s="3"/>
      <c r="AB3342" s="3"/>
    </row>
    <row r="3343" spans="1:28" x14ac:dyDescent="0.3">
      <c r="A3343" s="2"/>
      <c r="F3343" s="3"/>
      <c r="G3343" s="3"/>
      <c r="N3343" s="3"/>
      <c r="Q3343" s="3"/>
      <c r="R3343" s="3"/>
      <c r="S3343" s="3"/>
      <c r="V3343" s="3"/>
      <c r="W3343" s="3"/>
      <c r="X3343" s="3"/>
      <c r="Y3343" s="3"/>
      <c r="Z3343" s="3"/>
      <c r="AA3343" s="3"/>
      <c r="AB3343" s="3"/>
    </row>
    <row r="3344" spans="1:28" x14ac:dyDescent="0.3">
      <c r="A3344" s="2"/>
      <c r="F3344" s="3"/>
      <c r="G3344" s="3"/>
      <c r="N3344" s="3"/>
      <c r="Q3344" s="3"/>
      <c r="R3344" s="3"/>
      <c r="S3344" s="3"/>
      <c r="V3344" s="3"/>
      <c r="W3344" s="3"/>
      <c r="X3344" s="3"/>
      <c r="Y3344" s="3"/>
      <c r="Z3344" s="3"/>
      <c r="AA3344" s="3"/>
      <c r="AB3344" s="3"/>
    </row>
    <row r="3345" spans="1:28" x14ac:dyDescent="0.3">
      <c r="A3345" s="2"/>
      <c r="F3345" s="3"/>
      <c r="G3345" s="3"/>
      <c r="N3345" s="3"/>
      <c r="Q3345" s="3"/>
      <c r="R3345" s="3"/>
      <c r="S3345" s="3"/>
      <c r="V3345" s="3"/>
      <c r="W3345" s="3"/>
      <c r="X3345" s="3"/>
      <c r="Y3345" s="3"/>
      <c r="Z3345" s="3"/>
      <c r="AA3345" s="3"/>
      <c r="AB3345" s="3"/>
    </row>
    <row r="3346" spans="1:28" x14ac:dyDescent="0.3">
      <c r="A3346" s="2"/>
      <c r="F3346" s="3"/>
      <c r="G3346" s="3"/>
      <c r="N3346" s="3"/>
      <c r="Q3346" s="3"/>
      <c r="R3346" s="3"/>
      <c r="S3346" s="3"/>
      <c r="V3346" s="3"/>
      <c r="W3346" s="3"/>
      <c r="X3346" s="3"/>
      <c r="Y3346" s="3"/>
      <c r="Z3346" s="3"/>
      <c r="AA3346" s="3"/>
      <c r="AB3346" s="3"/>
    </row>
    <row r="3347" spans="1:28" x14ac:dyDescent="0.3">
      <c r="A3347" s="2"/>
      <c r="F3347" s="3"/>
      <c r="G3347" s="3"/>
      <c r="N3347" s="3"/>
      <c r="Q3347" s="3"/>
      <c r="R3347" s="3"/>
      <c r="S3347" s="3"/>
      <c r="V3347" s="3"/>
      <c r="W3347" s="3"/>
      <c r="X3347" s="3"/>
      <c r="Y3347" s="3"/>
      <c r="Z3347" s="3"/>
      <c r="AA3347" s="3"/>
      <c r="AB3347" s="3"/>
    </row>
    <row r="3348" spans="1:28" x14ac:dyDescent="0.3">
      <c r="A3348" s="2"/>
      <c r="F3348" s="3"/>
      <c r="G3348" s="3"/>
      <c r="N3348" s="3"/>
      <c r="Q3348" s="3"/>
      <c r="R3348" s="3"/>
      <c r="S3348" s="3"/>
      <c r="V3348" s="3"/>
      <c r="W3348" s="3"/>
      <c r="X3348" s="3"/>
      <c r="Y3348" s="3"/>
      <c r="Z3348" s="3"/>
      <c r="AA3348" s="3"/>
      <c r="AB3348" s="3"/>
    </row>
    <row r="3349" spans="1:28" x14ac:dyDescent="0.3">
      <c r="A3349" s="2"/>
      <c r="F3349" s="3"/>
      <c r="G3349" s="3"/>
      <c r="N3349" s="3"/>
      <c r="Q3349" s="3"/>
      <c r="R3349" s="3"/>
      <c r="S3349" s="3"/>
      <c r="V3349" s="3"/>
      <c r="W3349" s="3"/>
      <c r="X3349" s="3"/>
      <c r="Y3349" s="3"/>
      <c r="Z3349" s="3"/>
      <c r="AA3349" s="3"/>
      <c r="AB3349" s="3"/>
    </row>
    <row r="3350" spans="1:28" x14ac:dyDescent="0.3">
      <c r="A3350" s="2"/>
      <c r="F3350" s="3"/>
      <c r="G3350" s="3"/>
      <c r="N3350" s="3"/>
      <c r="Q3350" s="3"/>
      <c r="R3350" s="3"/>
      <c r="S3350" s="3"/>
      <c r="V3350" s="3"/>
      <c r="W3350" s="3"/>
      <c r="X3350" s="3"/>
      <c r="Y3350" s="3"/>
      <c r="Z3350" s="3"/>
      <c r="AA3350" s="3"/>
      <c r="AB3350" s="3"/>
    </row>
    <row r="3351" spans="1:28" x14ac:dyDescent="0.3">
      <c r="A3351" s="2"/>
      <c r="F3351" s="3"/>
      <c r="G3351" s="3"/>
      <c r="N3351" s="3"/>
      <c r="Q3351" s="3"/>
      <c r="R3351" s="3"/>
      <c r="S3351" s="3"/>
      <c r="V3351" s="3"/>
      <c r="W3351" s="3"/>
      <c r="X3351" s="3"/>
      <c r="Y3351" s="3"/>
      <c r="Z3351" s="3"/>
      <c r="AA3351" s="3"/>
      <c r="AB3351" s="3"/>
    </row>
    <row r="3352" spans="1:28" x14ac:dyDescent="0.3">
      <c r="A3352" s="2"/>
      <c r="F3352" s="3"/>
      <c r="G3352" s="3"/>
      <c r="N3352" s="3"/>
      <c r="Q3352" s="3"/>
      <c r="R3352" s="3"/>
      <c r="S3352" s="3"/>
      <c r="V3352" s="3"/>
      <c r="W3352" s="3"/>
      <c r="X3352" s="3"/>
      <c r="Y3352" s="3"/>
      <c r="Z3352" s="3"/>
      <c r="AA3352" s="3"/>
      <c r="AB3352" s="3"/>
    </row>
    <row r="3353" spans="1:28" x14ac:dyDescent="0.3">
      <c r="A3353" s="2"/>
      <c r="F3353" s="3"/>
      <c r="G3353" s="3"/>
      <c r="N3353" s="3"/>
      <c r="Q3353" s="3"/>
      <c r="R3353" s="3"/>
      <c r="S3353" s="3"/>
      <c r="V3353" s="3"/>
      <c r="W3353" s="3"/>
      <c r="X3353" s="3"/>
      <c r="Y3353" s="3"/>
      <c r="Z3353" s="3"/>
      <c r="AA3353" s="3"/>
      <c r="AB3353" s="3"/>
    </row>
    <row r="3354" spans="1:28" x14ac:dyDescent="0.3">
      <c r="A3354" s="2"/>
      <c r="F3354" s="3"/>
      <c r="G3354" s="3"/>
      <c r="N3354" s="3"/>
      <c r="Q3354" s="3"/>
      <c r="R3354" s="3"/>
      <c r="S3354" s="3"/>
      <c r="V3354" s="3"/>
      <c r="W3354" s="3"/>
      <c r="X3354" s="3"/>
      <c r="Y3354" s="3"/>
      <c r="Z3354" s="3"/>
      <c r="AA3354" s="3"/>
      <c r="AB3354" s="3"/>
    </row>
    <row r="3355" spans="1:28" x14ac:dyDescent="0.3">
      <c r="A3355" s="2"/>
      <c r="F3355" s="3"/>
      <c r="G3355" s="3"/>
      <c r="N3355" s="3"/>
      <c r="Q3355" s="3"/>
      <c r="R3355" s="3"/>
      <c r="S3355" s="3"/>
      <c r="V3355" s="3"/>
      <c r="W3355" s="3"/>
      <c r="X3355" s="3"/>
      <c r="Y3355" s="3"/>
      <c r="Z3355" s="3"/>
      <c r="AA3355" s="3"/>
      <c r="AB3355" s="3"/>
    </row>
    <row r="3356" spans="1:28" x14ac:dyDescent="0.3">
      <c r="A3356" s="2"/>
      <c r="F3356" s="3"/>
      <c r="G3356" s="3"/>
      <c r="N3356" s="3"/>
      <c r="Q3356" s="3"/>
      <c r="R3356" s="3"/>
      <c r="S3356" s="3"/>
      <c r="V3356" s="3"/>
      <c r="W3356" s="3"/>
      <c r="X3356" s="3"/>
      <c r="Y3356" s="3"/>
      <c r="Z3356" s="3"/>
      <c r="AA3356" s="3"/>
      <c r="AB3356" s="3"/>
    </row>
    <row r="3357" spans="1:28" x14ac:dyDescent="0.3">
      <c r="A3357" s="2"/>
      <c r="F3357" s="3"/>
      <c r="G3357" s="3"/>
      <c r="N3357" s="3"/>
      <c r="Q3357" s="3"/>
      <c r="R3357" s="3"/>
      <c r="S3357" s="3"/>
      <c r="V3357" s="3"/>
      <c r="W3357" s="3"/>
      <c r="X3357" s="3"/>
      <c r="Y3357" s="3"/>
      <c r="Z3357" s="3"/>
      <c r="AA3357" s="3"/>
      <c r="AB3357" s="3"/>
    </row>
    <row r="3358" spans="1:28" x14ac:dyDescent="0.3">
      <c r="A3358" s="2"/>
      <c r="F3358" s="3"/>
      <c r="G3358" s="3"/>
      <c r="N3358" s="3"/>
      <c r="Q3358" s="3"/>
      <c r="R3358" s="3"/>
      <c r="S3358" s="3"/>
      <c r="V3358" s="3"/>
      <c r="W3358" s="3"/>
      <c r="X3358" s="3"/>
      <c r="Y3358" s="3"/>
      <c r="Z3358" s="3"/>
      <c r="AA3358" s="3"/>
      <c r="AB3358" s="3"/>
    </row>
    <row r="3359" spans="1:28" x14ac:dyDescent="0.3">
      <c r="A3359" s="2"/>
      <c r="F3359" s="3"/>
      <c r="G3359" s="3"/>
      <c r="N3359" s="3"/>
      <c r="Q3359" s="3"/>
      <c r="R3359" s="3"/>
      <c r="S3359" s="3"/>
      <c r="V3359" s="3"/>
      <c r="W3359" s="3"/>
      <c r="X3359" s="3"/>
      <c r="Y3359" s="3"/>
      <c r="Z3359" s="3"/>
      <c r="AA3359" s="3"/>
      <c r="AB3359" s="3"/>
    </row>
    <row r="3360" spans="1:28" x14ac:dyDescent="0.3">
      <c r="A3360" s="2"/>
      <c r="F3360" s="3"/>
      <c r="G3360" s="3"/>
      <c r="N3360" s="3"/>
      <c r="Q3360" s="3"/>
      <c r="R3360" s="3"/>
      <c r="S3360" s="3"/>
      <c r="V3360" s="3"/>
      <c r="W3360" s="3"/>
      <c r="X3360" s="3"/>
      <c r="Y3360" s="3"/>
      <c r="Z3360" s="3"/>
      <c r="AA3360" s="3"/>
      <c r="AB3360" s="3"/>
    </row>
    <row r="3361" spans="1:28" x14ac:dyDescent="0.3">
      <c r="A3361" s="2"/>
      <c r="F3361" s="3"/>
      <c r="G3361" s="3"/>
      <c r="N3361" s="3"/>
      <c r="Q3361" s="3"/>
      <c r="R3361" s="3"/>
      <c r="S3361" s="3"/>
      <c r="V3361" s="3"/>
      <c r="W3361" s="3"/>
      <c r="X3361" s="3"/>
      <c r="Y3361" s="3"/>
      <c r="Z3361" s="3"/>
      <c r="AA3361" s="3"/>
      <c r="AB3361" s="3"/>
    </row>
    <row r="3362" spans="1:28" x14ac:dyDescent="0.3">
      <c r="A3362" s="2"/>
      <c r="F3362" s="3"/>
      <c r="G3362" s="3"/>
      <c r="N3362" s="3"/>
      <c r="Q3362" s="3"/>
      <c r="R3362" s="3"/>
      <c r="S3362" s="3"/>
      <c r="V3362" s="3"/>
      <c r="W3362" s="3"/>
      <c r="X3362" s="3"/>
      <c r="Y3362" s="3"/>
      <c r="Z3362" s="3"/>
      <c r="AA3362" s="3"/>
      <c r="AB3362" s="3"/>
    </row>
    <row r="3363" spans="1:28" x14ac:dyDescent="0.3">
      <c r="A3363" s="2"/>
      <c r="F3363" s="3"/>
      <c r="G3363" s="3"/>
      <c r="N3363" s="3"/>
      <c r="Q3363" s="3"/>
      <c r="R3363" s="3"/>
      <c r="S3363" s="3"/>
      <c r="V3363" s="3"/>
      <c r="W3363" s="3"/>
      <c r="X3363" s="3"/>
      <c r="Y3363" s="3"/>
      <c r="Z3363" s="3"/>
      <c r="AA3363" s="3"/>
      <c r="AB3363" s="3"/>
    </row>
    <row r="3364" spans="1:28" x14ac:dyDescent="0.3">
      <c r="A3364" s="2"/>
      <c r="F3364" s="3"/>
      <c r="G3364" s="3"/>
      <c r="N3364" s="3"/>
      <c r="Q3364" s="3"/>
      <c r="R3364" s="3"/>
      <c r="S3364" s="3"/>
      <c r="V3364" s="3"/>
      <c r="W3364" s="3"/>
      <c r="X3364" s="3"/>
      <c r="Y3364" s="3"/>
      <c r="Z3364" s="3"/>
      <c r="AA3364" s="3"/>
      <c r="AB3364" s="3"/>
    </row>
    <row r="3365" spans="1:28" x14ac:dyDescent="0.3">
      <c r="A3365" s="2"/>
      <c r="F3365" s="3"/>
      <c r="G3365" s="3"/>
      <c r="N3365" s="3"/>
      <c r="Q3365" s="3"/>
      <c r="R3365" s="3"/>
      <c r="S3365" s="3"/>
      <c r="V3365" s="3"/>
      <c r="W3365" s="3"/>
      <c r="X3365" s="3"/>
      <c r="Y3365" s="3"/>
      <c r="Z3365" s="3"/>
      <c r="AA3365" s="3"/>
      <c r="AB3365" s="3"/>
    </row>
    <row r="3366" spans="1:28" x14ac:dyDescent="0.3">
      <c r="A3366" s="2"/>
      <c r="F3366" s="3"/>
      <c r="G3366" s="3"/>
      <c r="N3366" s="3"/>
      <c r="Q3366" s="3"/>
      <c r="R3366" s="3"/>
      <c r="S3366" s="3"/>
      <c r="V3366" s="3"/>
      <c r="W3366" s="3"/>
      <c r="X3366" s="3"/>
      <c r="Y3366" s="3"/>
      <c r="Z3366" s="3"/>
      <c r="AA3366" s="3"/>
      <c r="AB3366" s="3"/>
    </row>
    <row r="3367" spans="1:28" x14ac:dyDescent="0.3">
      <c r="A3367" s="2"/>
      <c r="F3367" s="3"/>
      <c r="G3367" s="3"/>
      <c r="N3367" s="3"/>
      <c r="Q3367" s="3"/>
      <c r="R3367" s="3"/>
      <c r="S3367" s="3"/>
      <c r="V3367" s="3"/>
      <c r="W3367" s="3"/>
      <c r="X3367" s="3"/>
      <c r="Y3367" s="3"/>
      <c r="Z3367" s="3"/>
      <c r="AA3367" s="3"/>
      <c r="AB3367" s="3"/>
    </row>
    <row r="3368" spans="1:28" x14ac:dyDescent="0.3">
      <c r="A3368" s="2"/>
      <c r="F3368" s="3"/>
      <c r="G3368" s="3"/>
      <c r="N3368" s="3"/>
      <c r="Q3368" s="3"/>
      <c r="R3368" s="3"/>
      <c r="S3368" s="3"/>
      <c r="V3368" s="3"/>
      <c r="W3368" s="3"/>
      <c r="X3368" s="3"/>
      <c r="Y3368" s="3"/>
      <c r="Z3368" s="3"/>
      <c r="AA3368" s="3"/>
      <c r="AB3368" s="3"/>
    </row>
    <row r="3369" spans="1:28" x14ac:dyDescent="0.3">
      <c r="A3369" s="2"/>
      <c r="F3369" s="3"/>
      <c r="G3369" s="3"/>
      <c r="N3369" s="3"/>
      <c r="Q3369" s="3"/>
      <c r="R3369" s="3"/>
      <c r="S3369" s="3"/>
      <c r="V3369" s="3"/>
      <c r="W3369" s="3"/>
      <c r="X3369" s="3"/>
      <c r="Y3369" s="3"/>
      <c r="Z3369" s="3"/>
      <c r="AA3369" s="3"/>
      <c r="AB3369" s="3"/>
    </row>
    <row r="3370" spans="1:28" x14ac:dyDescent="0.3">
      <c r="A3370" s="2"/>
      <c r="F3370" s="3"/>
      <c r="G3370" s="3"/>
      <c r="N3370" s="3"/>
      <c r="Q3370" s="3"/>
      <c r="R3370" s="3"/>
      <c r="S3370" s="3"/>
      <c r="V3370" s="3"/>
      <c r="W3370" s="3"/>
      <c r="X3370" s="3"/>
      <c r="Y3370" s="3"/>
      <c r="Z3370" s="3"/>
      <c r="AA3370" s="3"/>
      <c r="AB3370" s="3"/>
    </row>
    <row r="3371" spans="1:28" x14ac:dyDescent="0.3">
      <c r="A3371" s="2"/>
      <c r="F3371" s="3"/>
      <c r="G3371" s="3"/>
      <c r="N3371" s="3"/>
      <c r="Q3371" s="3"/>
      <c r="R3371" s="3"/>
      <c r="S3371" s="3"/>
      <c r="V3371" s="3"/>
      <c r="W3371" s="3"/>
      <c r="X3371" s="3"/>
      <c r="Y3371" s="3"/>
      <c r="Z3371" s="3"/>
      <c r="AA3371" s="3"/>
      <c r="AB3371" s="3"/>
    </row>
    <row r="3372" spans="1:28" x14ac:dyDescent="0.3">
      <c r="A3372" s="2"/>
      <c r="F3372" s="3"/>
      <c r="G3372" s="3"/>
      <c r="N3372" s="3"/>
      <c r="Q3372" s="3"/>
      <c r="R3372" s="3"/>
      <c r="S3372" s="3"/>
      <c r="V3372" s="3"/>
      <c r="W3372" s="3"/>
      <c r="X3372" s="3"/>
      <c r="Y3372" s="3"/>
      <c r="Z3372" s="3"/>
      <c r="AA3372" s="3"/>
      <c r="AB3372" s="3"/>
    </row>
    <row r="3373" spans="1:28" x14ac:dyDescent="0.3">
      <c r="A3373" s="2"/>
      <c r="F3373" s="3"/>
      <c r="G3373" s="3"/>
      <c r="N3373" s="3"/>
      <c r="Q3373" s="3"/>
      <c r="R3373" s="3"/>
      <c r="S3373" s="3"/>
      <c r="V3373" s="3"/>
      <c r="W3373" s="3"/>
      <c r="X3373" s="3"/>
      <c r="Y3373" s="3"/>
      <c r="Z3373" s="3"/>
      <c r="AA3373" s="3"/>
      <c r="AB3373" s="3"/>
    </row>
    <row r="3374" spans="1:28" x14ac:dyDescent="0.3">
      <c r="A3374" s="2"/>
      <c r="F3374" s="3"/>
      <c r="G3374" s="3"/>
      <c r="N3374" s="3"/>
      <c r="Q3374" s="3"/>
      <c r="R3374" s="3"/>
      <c r="S3374" s="3"/>
      <c r="V3374" s="3"/>
      <c r="W3374" s="3"/>
      <c r="X3374" s="3"/>
      <c r="Y3374" s="3"/>
      <c r="Z3374" s="3"/>
      <c r="AA3374" s="3"/>
      <c r="AB3374" s="3"/>
    </row>
    <row r="3375" spans="1:28" x14ac:dyDescent="0.3">
      <c r="A3375" s="2"/>
      <c r="F3375" s="3"/>
      <c r="G3375" s="3"/>
      <c r="N3375" s="3"/>
      <c r="Q3375" s="3"/>
      <c r="R3375" s="3"/>
      <c r="S3375" s="3"/>
      <c r="V3375" s="3"/>
      <c r="W3375" s="3"/>
      <c r="X3375" s="3"/>
      <c r="Y3375" s="3"/>
      <c r="Z3375" s="3"/>
      <c r="AA3375" s="3"/>
      <c r="AB3375" s="3"/>
    </row>
    <row r="3376" spans="1:28" x14ac:dyDescent="0.3">
      <c r="A3376" s="2"/>
      <c r="F3376" s="3"/>
      <c r="G3376" s="3"/>
      <c r="N3376" s="3"/>
      <c r="Q3376" s="3"/>
      <c r="R3376" s="3"/>
      <c r="S3376" s="3"/>
      <c r="V3376" s="3"/>
      <c r="W3376" s="3"/>
      <c r="X3376" s="3"/>
      <c r="Y3376" s="3"/>
      <c r="Z3376" s="3"/>
      <c r="AA3376" s="3"/>
      <c r="AB3376" s="3"/>
    </row>
    <row r="3377" spans="1:28" x14ac:dyDescent="0.3">
      <c r="A3377" s="2"/>
      <c r="F3377" s="3"/>
      <c r="G3377" s="3"/>
      <c r="N3377" s="3"/>
      <c r="Q3377" s="3"/>
      <c r="R3377" s="3"/>
      <c r="S3377" s="3"/>
      <c r="V3377" s="3"/>
      <c r="W3377" s="3"/>
      <c r="X3377" s="3"/>
      <c r="Y3377" s="3"/>
      <c r="Z3377" s="3"/>
      <c r="AA3377" s="3"/>
      <c r="AB3377" s="3"/>
    </row>
    <row r="3378" spans="1:28" x14ac:dyDescent="0.3">
      <c r="A3378" s="2"/>
      <c r="F3378" s="3"/>
      <c r="G3378" s="3"/>
      <c r="N3378" s="3"/>
      <c r="Q3378" s="3"/>
      <c r="R3378" s="3"/>
      <c r="S3378" s="3"/>
      <c r="V3378" s="3"/>
      <c r="W3378" s="3"/>
      <c r="X3378" s="3"/>
      <c r="Y3378" s="3"/>
      <c r="Z3378" s="3"/>
      <c r="AA3378" s="3"/>
      <c r="AB3378" s="3"/>
    </row>
    <row r="3379" spans="1:28" x14ac:dyDescent="0.3">
      <c r="A3379" s="2"/>
      <c r="F3379" s="3"/>
      <c r="G3379" s="3"/>
      <c r="N3379" s="3"/>
      <c r="Q3379" s="3"/>
      <c r="R3379" s="3"/>
      <c r="S3379" s="3"/>
      <c r="V3379" s="3"/>
      <c r="W3379" s="3"/>
      <c r="X3379" s="3"/>
      <c r="Y3379" s="3"/>
      <c r="Z3379" s="3"/>
      <c r="AA3379" s="3"/>
      <c r="AB3379" s="3"/>
    </row>
    <row r="3380" spans="1:28" x14ac:dyDescent="0.3">
      <c r="A3380" s="2"/>
      <c r="F3380" s="3"/>
      <c r="G3380" s="3"/>
      <c r="N3380" s="3"/>
      <c r="Q3380" s="3"/>
      <c r="R3380" s="3"/>
      <c r="S3380" s="3"/>
      <c r="V3380" s="3"/>
      <c r="W3380" s="3"/>
      <c r="X3380" s="3"/>
      <c r="Y3380" s="3"/>
      <c r="Z3380" s="3"/>
      <c r="AA3380" s="3"/>
      <c r="AB3380" s="3"/>
    </row>
    <row r="3381" spans="1:28" x14ac:dyDescent="0.3">
      <c r="A3381" s="2"/>
      <c r="F3381" s="3"/>
      <c r="G3381" s="3"/>
      <c r="N3381" s="3"/>
      <c r="Q3381" s="3"/>
      <c r="R3381" s="3"/>
      <c r="S3381" s="3"/>
      <c r="V3381" s="3"/>
      <c r="W3381" s="3"/>
      <c r="X3381" s="3"/>
      <c r="Y3381" s="3"/>
      <c r="Z3381" s="3"/>
      <c r="AA3381" s="3"/>
      <c r="AB3381" s="3"/>
    </row>
    <row r="3382" spans="1:28" x14ac:dyDescent="0.3">
      <c r="A3382" s="2"/>
      <c r="F3382" s="3"/>
      <c r="G3382" s="3"/>
      <c r="N3382" s="3"/>
      <c r="Q3382" s="3"/>
      <c r="R3382" s="3"/>
      <c r="S3382" s="3"/>
      <c r="V3382" s="3"/>
      <c r="W3382" s="3"/>
      <c r="X3382" s="3"/>
      <c r="Y3382" s="3"/>
      <c r="Z3382" s="3"/>
      <c r="AA3382" s="3"/>
      <c r="AB3382" s="3"/>
    </row>
    <row r="3383" spans="1:28" x14ac:dyDescent="0.3">
      <c r="A3383" s="2"/>
      <c r="F3383" s="3"/>
      <c r="G3383" s="3"/>
      <c r="N3383" s="3"/>
      <c r="Q3383" s="3"/>
      <c r="R3383" s="3"/>
      <c r="S3383" s="3"/>
      <c r="V3383" s="3"/>
      <c r="W3383" s="3"/>
      <c r="X3383" s="3"/>
      <c r="Y3383" s="3"/>
      <c r="Z3383" s="3"/>
      <c r="AA3383" s="3"/>
      <c r="AB3383" s="3"/>
    </row>
    <row r="3384" spans="1:28" x14ac:dyDescent="0.3">
      <c r="A3384" s="2"/>
      <c r="F3384" s="3"/>
      <c r="G3384" s="3"/>
      <c r="N3384" s="3"/>
      <c r="Q3384" s="3"/>
      <c r="R3384" s="3"/>
      <c r="S3384" s="3"/>
      <c r="V3384" s="3"/>
      <c r="W3384" s="3"/>
      <c r="X3384" s="3"/>
      <c r="Y3384" s="3"/>
      <c r="Z3384" s="3"/>
      <c r="AA3384" s="3"/>
      <c r="AB3384" s="3"/>
    </row>
    <row r="3385" spans="1:28" x14ac:dyDescent="0.3">
      <c r="A3385" s="2"/>
      <c r="F3385" s="3"/>
      <c r="G3385" s="3"/>
      <c r="N3385" s="3"/>
      <c r="Q3385" s="3"/>
      <c r="R3385" s="3"/>
      <c r="S3385" s="3"/>
      <c r="V3385" s="3"/>
      <c r="W3385" s="3"/>
      <c r="X3385" s="3"/>
      <c r="Y3385" s="3"/>
      <c r="Z3385" s="3"/>
      <c r="AA3385" s="3"/>
      <c r="AB3385" s="3"/>
    </row>
    <row r="3386" spans="1:28" x14ac:dyDescent="0.3">
      <c r="A3386" s="2"/>
      <c r="F3386" s="3"/>
      <c r="G3386" s="3"/>
      <c r="N3386" s="3"/>
      <c r="Q3386" s="3"/>
      <c r="R3386" s="3"/>
      <c r="S3386" s="3"/>
      <c r="V3386" s="3"/>
      <c r="W3386" s="3"/>
      <c r="X3386" s="3"/>
      <c r="Y3386" s="3"/>
      <c r="Z3386" s="3"/>
      <c r="AA3386" s="3"/>
      <c r="AB3386" s="3"/>
    </row>
    <row r="3387" spans="1:28" x14ac:dyDescent="0.3">
      <c r="A3387" s="2"/>
      <c r="F3387" s="3"/>
      <c r="G3387" s="3"/>
      <c r="N3387" s="3"/>
      <c r="Q3387" s="3"/>
      <c r="R3387" s="3"/>
      <c r="S3387" s="3"/>
      <c r="V3387" s="3"/>
      <c r="W3387" s="3"/>
      <c r="X3387" s="3"/>
      <c r="Y3387" s="3"/>
      <c r="Z3387" s="3"/>
      <c r="AA3387" s="3"/>
      <c r="AB3387" s="3"/>
    </row>
    <row r="3388" spans="1:28" x14ac:dyDescent="0.3">
      <c r="A3388" s="2"/>
      <c r="F3388" s="3"/>
      <c r="G3388" s="3"/>
      <c r="N3388" s="3"/>
      <c r="Q3388" s="3"/>
      <c r="R3388" s="3"/>
      <c r="S3388" s="3"/>
      <c r="V3388" s="3"/>
      <c r="W3388" s="3"/>
      <c r="X3388" s="3"/>
      <c r="Y3388" s="3"/>
      <c r="Z3388" s="3"/>
      <c r="AA3388" s="3"/>
      <c r="AB3388" s="3"/>
    </row>
    <row r="3389" spans="1:28" x14ac:dyDescent="0.3">
      <c r="A3389" s="2"/>
      <c r="F3389" s="3"/>
      <c r="G3389" s="3"/>
      <c r="N3389" s="3"/>
      <c r="Q3389" s="3"/>
      <c r="R3389" s="3"/>
      <c r="S3389" s="3"/>
      <c r="V3389" s="3"/>
      <c r="W3389" s="3"/>
      <c r="X3389" s="3"/>
      <c r="Y3389" s="3"/>
      <c r="Z3389" s="3"/>
      <c r="AA3389" s="3"/>
      <c r="AB3389" s="3"/>
    </row>
    <row r="3390" spans="1:28" x14ac:dyDescent="0.3">
      <c r="A3390" s="2"/>
      <c r="F3390" s="3"/>
      <c r="G3390" s="3"/>
      <c r="N3390" s="3"/>
      <c r="Q3390" s="3"/>
      <c r="R3390" s="3"/>
      <c r="S3390" s="3"/>
      <c r="V3390" s="3"/>
      <c r="W3390" s="3"/>
      <c r="X3390" s="3"/>
      <c r="Y3390" s="3"/>
      <c r="Z3390" s="3"/>
      <c r="AA3390" s="3"/>
      <c r="AB3390" s="3"/>
    </row>
    <row r="3391" spans="1:28" x14ac:dyDescent="0.3">
      <c r="A3391" s="2"/>
      <c r="F3391" s="3"/>
      <c r="G3391" s="3"/>
      <c r="N3391" s="3"/>
      <c r="Q3391" s="3"/>
      <c r="R3391" s="3"/>
      <c r="S3391" s="3"/>
      <c r="V3391" s="3"/>
      <c r="W3391" s="3"/>
      <c r="X3391" s="3"/>
      <c r="Y3391" s="3"/>
      <c r="Z3391" s="3"/>
      <c r="AA3391" s="3"/>
      <c r="AB3391" s="3"/>
    </row>
    <row r="3392" spans="1:28" x14ac:dyDescent="0.3">
      <c r="A3392" s="2"/>
      <c r="F3392" s="3"/>
      <c r="G3392" s="3"/>
      <c r="N3392" s="3"/>
      <c r="Q3392" s="3"/>
      <c r="R3392" s="3"/>
      <c r="S3392" s="3"/>
      <c r="V3392" s="3"/>
      <c r="W3392" s="3"/>
      <c r="X3392" s="3"/>
      <c r="Y3392" s="3"/>
      <c r="Z3392" s="3"/>
      <c r="AA3392" s="3"/>
      <c r="AB3392" s="3"/>
    </row>
    <row r="3393" spans="1:28" x14ac:dyDescent="0.3">
      <c r="A3393" s="2"/>
      <c r="F3393" s="3"/>
      <c r="G3393" s="3"/>
      <c r="N3393" s="3"/>
      <c r="Q3393" s="3"/>
      <c r="R3393" s="3"/>
      <c r="S3393" s="3"/>
      <c r="V3393" s="3"/>
      <c r="W3393" s="3"/>
      <c r="X3393" s="3"/>
      <c r="Y3393" s="3"/>
      <c r="Z3393" s="3"/>
      <c r="AA3393" s="3"/>
      <c r="AB3393" s="3"/>
    </row>
    <row r="3394" spans="1:28" x14ac:dyDescent="0.3">
      <c r="A3394" s="2"/>
      <c r="F3394" s="3"/>
      <c r="G3394" s="3"/>
      <c r="N3394" s="3"/>
      <c r="Q3394" s="3"/>
      <c r="R3394" s="3"/>
      <c r="S3394" s="3"/>
      <c r="V3394" s="3"/>
      <c r="W3394" s="3"/>
      <c r="X3394" s="3"/>
      <c r="Y3394" s="3"/>
      <c r="Z3394" s="3"/>
      <c r="AA3394" s="3"/>
      <c r="AB3394" s="3"/>
    </row>
    <row r="3395" spans="1:28" x14ac:dyDescent="0.3">
      <c r="A3395" s="2"/>
      <c r="F3395" s="3"/>
      <c r="G3395" s="3"/>
      <c r="N3395" s="3"/>
      <c r="Q3395" s="3"/>
      <c r="R3395" s="3"/>
      <c r="S3395" s="3"/>
      <c r="V3395" s="3"/>
      <c r="W3395" s="3"/>
      <c r="X3395" s="3"/>
      <c r="Y3395" s="3"/>
      <c r="Z3395" s="3"/>
      <c r="AA3395" s="3"/>
      <c r="AB3395" s="3"/>
    </row>
    <row r="3396" spans="1:28" x14ac:dyDescent="0.3">
      <c r="A3396" s="2"/>
      <c r="F3396" s="3"/>
      <c r="G3396" s="3"/>
      <c r="N3396" s="3"/>
      <c r="Q3396" s="3"/>
      <c r="R3396" s="3"/>
      <c r="S3396" s="3"/>
      <c r="V3396" s="3"/>
      <c r="W3396" s="3"/>
      <c r="X3396" s="3"/>
      <c r="Y3396" s="3"/>
      <c r="Z3396" s="3"/>
      <c r="AA3396" s="3"/>
      <c r="AB3396" s="3"/>
    </row>
    <row r="3397" spans="1:28" x14ac:dyDescent="0.3">
      <c r="A3397" s="2"/>
      <c r="F3397" s="3"/>
      <c r="G3397" s="3"/>
      <c r="N3397" s="3"/>
      <c r="Q3397" s="3"/>
      <c r="R3397" s="3"/>
      <c r="S3397" s="3"/>
      <c r="V3397" s="3"/>
      <c r="W3397" s="3"/>
      <c r="X3397" s="3"/>
      <c r="Y3397" s="3"/>
      <c r="Z3397" s="3"/>
      <c r="AA3397" s="3"/>
      <c r="AB3397" s="3"/>
    </row>
    <row r="3398" spans="1:28" x14ac:dyDescent="0.3">
      <c r="A3398" s="2"/>
      <c r="F3398" s="3"/>
      <c r="G3398" s="3"/>
      <c r="N3398" s="3"/>
      <c r="Q3398" s="3"/>
      <c r="R3398" s="3"/>
      <c r="S3398" s="3"/>
      <c r="V3398" s="3"/>
      <c r="W3398" s="3"/>
      <c r="X3398" s="3"/>
      <c r="Y3398" s="3"/>
      <c r="Z3398" s="3"/>
      <c r="AA3398" s="3"/>
      <c r="AB3398" s="3"/>
    </row>
    <row r="3399" spans="1:28" x14ac:dyDescent="0.3">
      <c r="A3399" s="2"/>
      <c r="F3399" s="3"/>
      <c r="G3399" s="3"/>
      <c r="N3399" s="3"/>
      <c r="Q3399" s="3"/>
      <c r="R3399" s="3"/>
      <c r="S3399" s="3"/>
      <c r="V3399" s="3"/>
      <c r="W3399" s="3"/>
      <c r="X3399" s="3"/>
      <c r="Y3399" s="3"/>
      <c r="Z3399" s="3"/>
      <c r="AA3399" s="3"/>
      <c r="AB3399" s="3"/>
    </row>
    <row r="3400" spans="1:28" x14ac:dyDescent="0.3">
      <c r="A3400" s="2"/>
      <c r="F3400" s="3"/>
      <c r="G3400" s="3"/>
      <c r="N3400" s="3"/>
      <c r="Q3400" s="3"/>
      <c r="R3400" s="3"/>
      <c r="S3400" s="3"/>
      <c r="V3400" s="3"/>
      <c r="W3400" s="3"/>
      <c r="X3400" s="3"/>
      <c r="Y3400" s="3"/>
      <c r="Z3400" s="3"/>
      <c r="AA3400" s="3"/>
      <c r="AB3400" s="3"/>
    </row>
    <row r="3401" spans="1:28" x14ac:dyDescent="0.3">
      <c r="A3401" s="2"/>
      <c r="F3401" s="3"/>
      <c r="G3401" s="3"/>
      <c r="N3401" s="3"/>
      <c r="Q3401" s="3"/>
      <c r="R3401" s="3"/>
      <c r="S3401" s="3"/>
      <c r="V3401" s="3"/>
      <c r="W3401" s="3"/>
      <c r="X3401" s="3"/>
      <c r="Y3401" s="3"/>
      <c r="Z3401" s="3"/>
      <c r="AA3401" s="3"/>
      <c r="AB3401" s="3"/>
    </row>
    <row r="3402" spans="1:28" x14ac:dyDescent="0.3">
      <c r="A3402" s="2"/>
      <c r="F3402" s="3"/>
      <c r="G3402" s="3"/>
      <c r="N3402" s="3"/>
      <c r="Q3402" s="3"/>
      <c r="R3402" s="3"/>
      <c r="S3402" s="3"/>
      <c r="V3402" s="3"/>
      <c r="W3402" s="3"/>
      <c r="X3402" s="3"/>
      <c r="Y3402" s="3"/>
      <c r="Z3402" s="3"/>
      <c r="AA3402" s="3"/>
      <c r="AB3402" s="3"/>
    </row>
    <row r="3403" spans="1:28" x14ac:dyDescent="0.3">
      <c r="A3403" s="2"/>
      <c r="F3403" s="3"/>
      <c r="G3403" s="3"/>
      <c r="N3403" s="3"/>
      <c r="Q3403" s="3"/>
      <c r="R3403" s="3"/>
      <c r="S3403" s="3"/>
      <c r="V3403" s="3"/>
      <c r="W3403" s="3"/>
      <c r="X3403" s="3"/>
      <c r="Y3403" s="3"/>
      <c r="Z3403" s="3"/>
      <c r="AA3403" s="3"/>
      <c r="AB3403" s="3"/>
    </row>
    <row r="3404" spans="1:28" x14ac:dyDescent="0.3">
      <c r="A3404" s="2"/>
      <c r="F3404" s="3"/>
      <c r="G3404" s="3"/>
      <c r="N3404" s="3"/>
      <c r="Q3404" s="3"/>
      <c r="R3404" s="3"/>
      <c r="S3404" s="3"/>
      <c r="V3404" s="3"/>
      <c r="W3404" s="3"/>
      <c r="X3404" s="3"/>
      <c r="Y3404" s="3"/>
      <c r="Z3404" s="3"/>
      <c r="AA3404" s="3"/>
      <c r="AB3404" s="3"/>
    </row>
    <row r="3405" spans="1:28" x14ac:dyDescent="0.3">
      <c r="A3405" s="2"/>
      <c r="F3405" s="3"/>
      <c r="G3405" s="3"/>
      <c r="N3405" s="3"/>
      <c r="Q3405" s="3"/>
      <c r="R3405" s="3"/>
      <c r="S3405" s="3"/>
      <c r="V3405" s="3"/>
      <c r="W3405" s="3"/>
      <c r="X3405" s="3"/>
      <c r="Y3405" s="3"/>
      <c r="Z3405" s="3"/>
      <c r="AA3405" s="3"/>
      <c r="AB3405" s="3"/>
    </row>
    <row r="3406" spans="1:28" x14ac:dyDescent="0.3">
      <c r="A3406" s="2"/>
      <c r="F3406" s="3"/>
      <c r="G3406" s="3"/>
      <c r="N3406" s="3"/>
      <c r="Q3406" s="3"/>
      <c r="R3406" s="3"/>
      <c r="S3406" s="3"/>
      <c r="V3406" s="3"/>
      <c r="W3406" s="3"/>
      <c r="X3406" s="3"/>
      <c r="Y3406" s="3"/>
      <c r="Z3406" s="3"/>
      <c r="AA3406" s="3"/>
      <c r="AB3406" s="3"/>
    </row>
    <row r="3407" spans="1:28" x14ac:dyDescent="0.3">
      <c r="A3407" s="2"/>
      <c r="F3407" s="3"/>
      <c r="G3407" s="3"/>
      <c r="N3407" s="3"/>
      <c r="Q3407" s="3"/>
      <c r="R3407" s="3"/>
      <c r="S3407" s="3"/>
      <c r="V3407" s="3"/>
      <c r="W3407" s="3"/>
      <c r="X3407" s="3"/>
      <c r="Y3407" s="3"/>
      <c r="Z3407" s="3"/>
      <c r="AA3407" s="3"/>
      <c r="AB3407" s="3"/>
    </row>
    <row r="3408" spans="1:28" x14ac:dyDescent="0.3">
      <c r="A3408" s="2"/>
      <c r="F3408" s="3"/>
      <c r="G3408" s="3"/>
      <c r="N3408" s="3"/>
      <c r="Q3408" s="3"/>
      <c r="R3408" s="3"/>
      <c r="S3408" s="3"/>
      <c r="V3408" s="3"/>
      <c r="W3408" s="3"/>
      <c r="X3408" s="3"/>
      <c r="Y3408" s="3"/>
      <c r="Z3408" s="3"/>
      <c r="AA3408" s="3"/>
      <c r="AB3408" s="3"/>
    </row>
    <row r="3409" spans="1:28" x14ac:dyDescent="0.3">
      <c r="A3409" s="2"/>
      <c r="F3409" s="3"/>
      <c r="G3409" s="3"/>
      <c r="N3409" s="3"/>
      <c r="Q3409" s="3"/>
      <c r="R3409" s="3"/>
      <c r="S3409" s="3"/>
      <c r="V3409" s="3"/>
      <c r="W3409" s="3"/>
      <c r="X3409" s="3"/>
      <c r="Y3409" s="3"/>
      <c r="Z3409" s="3"/>
      <c r="AA3409" s="3"/>
      <c r="AB3409" s="3"/>
    </row>
    <row r="3410" spans="1:28" x14ac:dyDescent="0.3">
      <c r="A3410" s="2"/>
      <c r="F3410" s="3"/>
      <c r="G3410" s="3"/>
      <c r="N3410" s="3"/>
      <c r="Q3410" s="3"/>
      <c r="R3410" s="3"/>
      <c r="S3410" s="3"/>
      <c r="V3410" s="3"/>
      <c r="W3410" s="3"/>
      <c r="X3410" s="3"/>
      <c r="Y3410" s="3"/>
      <c r="Z3410" s="3"/>
      <c r="AA3410" s="3"/>
      <c r="AB3410" s="3"/>
    </row>
    <row r="3411" spans="1:28" x14ac:dyDescent="0.3">
      <c r="A3411" s="2"/>
      <c r="F3411" s="3"/>
      <c r="G3411" s="3"/>
      <c r="N3411" s="3"/>
      <c r="Q3411" s="3"/>
      <c r="R3411" s="3"/>
      <c r="S3411" s="3"/>
      <c r="V3411" s="3"/>
      <c r="W3411" s="3"/>
      <c r="X3411" s="3"/>
      <c r="Y3411" s="3"/>
      <c r="Z3411" s="3"/>
      <c r="AA3411" s="3"/>
      <c r="AB3411" s="3"/>
    </row>
    <row r="3412" spans="1:28" x14ac:dyDescent="0.3">
      <c r="A3412" s="2"/>
      <c r="F3412" s="3"/>
      <c r="G3412" s="3"/>
      <c r="N3412" s="3"/>
      <c r="Q3412" s="3"/>
      <c r="R3412" s="3"/>
      <c r="S3412" s="3"/>
      <c r="V3412" s="3"/>
      <c r="W3412" s="3"/>
      <c r="X3412" s="3"/>
      <c r="Y3412" s="3"/>
      <c r="Z3412" s="3"/>
      <c r="AA3412" s="3"/>
      <c r="AB3412" s="3"/>
    </row>
    <row r="3413" spans="1:28" x14ac:dyDescent="0.3">
      <c r="A3413" s="2"/>
      <c r="F3413" s="3"/>
      <c r="G3413" s="3"/>
      <c r="N3413" s="3"/>
      <c r="Q3413" s="3"/>
      <c r="R3413" s="3"/>
      <c r="S3413" s="3"/>
      <c r="V3413" s="3"/>
      <c r="W3413" s="3"/>
      <c r="X3413" s="3"/>
      <c r="Y3413" s="3"/>
      <c r="Z3413" s="3"/>
      <c r="AA3413" s="3"/>
      <c r="AB3413" s="3"/>
    </row>
    <row r="3414" spans="1:28" x14ac:dyDescent="0.3">
      <c r="A3414" s="2"/>
      <c r="F3414" s="3"/>
      <c r="G3414" s="3"/>
      <c r="N3414" s="3"/>
      <c r="Q3414" s="3"/>
      <c r="R3414" s="3"/>
      <c r="S3414" s="3"/>
      <c r="V3414" s="3"/>
      <c r="W3414" s="3"/>
      <c r="X3414" s="3"/>
      <c r="Y3414" s="3"/>
      <c r="Z3414" s="3"/>
      <c r="AA3414" s="3"/>
      <c r="AB3414" s="3"/>
    </row>
    <row r="3415" spans="1:28" x14ac:dyDescent="0.3">
      <c r="A3415" s="2"/>
      <c r="F3415" s="3"/>
      <c r="G3415" s="3"/>
      <c r="N3415" s="3"/>
      <c r="Q3415" s="3"/>
      <c r="R3415" s="3"/>
      <c r="S3415" s="3"/>
      <c r="V3415" s="3"/>
      <c r="W3415" s="3"/>
      <c r="X3415" s="3"/>
      <c r="Y3415" s="3"/>
      <c r="Z3415" s="3"/>
      <c r="AA3415" s="3"/>
      <c r="AB3415" s="3"/>
    </row>
    <row r="3416" spans="1:28" x14ac:dyDescent="0.3">
      <c r="A3416" s="2"/>
      <c r="F3416" s="3"/>
      <c r="G3416" s="3"/>
      <c r="N3416" s="3"/>
      <c r="Q3416" s="3"/>
      <c r="R3416" s="3"/>
      <c r="S3416" s="3"/>
      <c r="V3416" s="3"/>
      <c r="W3416" s="3"/>
      <c r="X3416" s="3"/>
      <c r="Y3416" s="3"/>
      <c r="Z3416" s="3"/>
      <c r="AA3416" s="3"/>
      <c r="AB3416" s="3"/>
    </row>
    <row r="3417" spans="1:28" x14ac:dyDescent="0.3">
      <c r="A3417" s="2"/>
      <c r="F3417" s="3"/>
      <c r="G3417" s="3"/>
      <c r="N3417" s="3"/>
      <c r="Q3417" s="3"/>
      <c r="R3417" s="3"/>
      <c r="S3417" s="3"/>
      <c r="V3417" s="3"/>
      <c r="W3417" s="3"/>
      <c r="X3417" s="3"/>
      <c r="Y3417" s="3"/>
      <c r="Z3417" s="3"/>
      <c r="AA3417" s="3"/>
      <c r="AB3417" s="3"/>
    </row>
    <row r="3418" spans="1:28" x14ac:dyDescent="0.3">
      <c r="A3418" s="2"/>
      <c r="F3418" s="3"/>
      <c r="G3418" s="3"/>
      <c r="N3418" s="3"/>
      <c r="Q3418" s="3"/>
      <c r="R3418" s="3"/>
      <c r="S3418" s="3"/>
      <c r="V3418" s="3"/>
      <c r="W3418" s="3"/>
      <c r="X3418" s="3"/>
      <c r="Y3418" s="3"/>
      <c r="Z3418" s="3"/>
      <c r="AA3418" s="3"/>
      <c r="AB3418" s="3"/>
    </row>
    <row r="3419" spans="1:28" x14ac:dyDescent="0.3">
      <c r="A3419" s="2"/>
      <c r="F3419" s="3"/>
      <c r="G3419" s="3"/>
      <c r="N3419" s="3"/>
      <c r="Q3419" s="3"/>
      <c r="R3419" s="3"/>
      <c r="S3419" s="3"/>
      <c r="V3419" s="3"/>
      <c r="W3419" s="3"/>
      <c r="X3419" s="3"/>
      <c r="Y3419" s="3"/>
      <c r="Z3419" s="3"/>
      <c r="AA3419" s="3"/>
      <c r="AB3419" s="3"/>
    </row>
    <row r="3420" spans="1:28" x14ac:dyDescent="0.3">
      <c r="A3420" s="2"/>
      <c r="F3420" s="3"/>
      <c r="G3420" s="3"/>
      <c r="N3420" s="3"/>
      <c r="Q3420" s="3"/>
      <c r="R3420" s="3"/>
      <c r="S3420" s="3"/>
      <c r="V3420" s="3"/>
      <c r="W3420" s="3"/>
      <c r="X3420" s="3"/>
      <c r="Y3420" s="3"/>
      <c r="Z3420" s="3"/>
      <c r="AA3420" s="3"/>
      <c r="AB3420" s="3"/>
    </row>
    <row r="3421" spans="1:28" x14ac:dyDescent="0.3">
      <c r="A3421" s="2"/>
      <c r="F3421" s="3"/>
      <c r="G3421" s="3"/>
      <c r="N3421" s="3"/>
      <c r="Q3421" s="3"/>
      <c r="R3421" s="3"/>
      <c r="S3421" s="3"/>
      <c r="V3421" s="3"/>
      <c r="W3421" s="3"/>
      <c r="X3421" s="3"/>
      <c r="Y3421" s="3"/>
      <c r="Z3421" s="3"/>
      <c r="AA3421" s="3"/>
      <c r="AB3421" s="3"/>
    </row>
    <row r="3422" spans="1:28" x14ac:dyDescent="0.3">
      <c r="A3422" s="2"/>
      <c r="F3422" s="3"/>
      <c r="G3422" s="3"/>
      <c r="N3422" s="3"/>
      <c r="Q3422" s="3"/>
      <c r="R3422" s="3"/>
      <c r="S3422" s="3"/>
      <c r="V3422" s="3"/>
      <c r="W3422" s="3"/>
      <c r="X3422" s="3"/>
      <c r="Y3422" s="3"/>
      <c r="Z3422" s="3"/>
      <c r="AA3422" s="3"/>
      <c r="AB3422" s="3"/>
    </row>
    <row r="3423" spans="1:28" x14ac:dyDescent="0.3">
      <c r="A3423" s="2"/>
      <c r="F3423" s="3"/>
      <c r="G3423" s="3"/>
      <c r="N3423" s="3"/>
      <c r="Q3423" s="3"/>
      <c r="R3423" s="3"/>
      <c r="S3423" s="3"/>
      <c r="V3423" s="3"/>
      <c r="W3423" s="3"/>
      <c r="X3423" s="3"/>
      <c r="Y3423" s="3"/>
      <c r="Z3423" s="3"/>
      <c r="AA3423" s="3"/>
      <c r="AB3423" s="3"/>
    </row>
    <row r="3424" spans="1:28" x14ac:dyDescent="0.3">
      <c r="A3424" s="2"/>
      <c r="F3424" s="3"/>
      <c r="G3424" s="3"/>
      <c r="N3424" s="3"/>
      <c r="Q3424" s="3"/>
      <c r="R3424" s="3"/>
      <c r="S3424" s="3"/>
      <c r="V3424" s="3"/>
      <c r="W3424" s="3"/>
      <c r="X3424" s="3"/>
      <c r="Y3424" s="3"/>
      <c r="Z3424" s="3"/>
      <c r="AA3424" s="3"/>
      <c r="AB3424" s="3"/>
    </row>
    <row r="3425" spans="1:28" x14ac:dyDescent="0.3">
      <c r="A3425" s="2"/>
      <c r="F3425" s="3"/>
      <c r="G3425" s="3"/>
      <c r="N3425" s="3"/>
      <c r="Q3425" s="3"/>
      <c r="R3425" s="3"/>
      <c r="S3425" s="3"/>
      <c r="V3425" s="3"/>
      <c r="W3425" s="3"/>
      <c r="X3425" s="3"/>
      <c r="Y3425" s="3"/>
      <c r="Z3425" s="3"/>
      <c r="AA3425" s="3"/>
      <c r="AB3425" s="3"/>
    </row>
    <row r="3426" spans="1:28" x14ac:dyDescent="0.3">
      <c r="A3426" s="2"/>
      <c r="F3426" s="3"/>
      <c r="G3426" s="3"/>
      <c r="N3426" s="3"/>
      <c r="Q3426" s="3"/>
      <c r="R3426" s="3"/>
      <c r="S3426" s="3"/>
      <c r="V3426" s="3"/>
      <c r="W3426" s="3"/>
      <c r="X3426" s="3"/>
      <c r="Y3426" s="3"/>
      <c r="Z3426" s="3"/>
      <c r="AA3426" s="3"/>
      <c r="AB3426" s="3"/>
    </row>
    <row r="3427" spans="1:28" x14ac:dyDescent="0.3">
      <c r="A3427" s="2"/>
      <c r="F3427" s="3"/>
      <c r="G3427" s="3"/>
      <c r="N3427" s="3"/>
      <c r="Q3427" s="3"/>
      <c r="R3427" s="3"/>
      <c r="S3427" s="3"/>
      <c r="V3427" s="3"/>
      <c r="W3427" s="3"/>
      <c r="X3427" s="3"/>
      <c r="Y3427" s="3"/>
      <c r="Z3427" s="3"/>
      <c r="AA3427" s="3"/>
      <c r="AB3427" s="3"/>
    </row>
    <row r="3428" spans="1:28" x14ac:dyDescent="0.3">
      <c r="A3428" s="2"/>
      <c r="F3428" s="3"/>
      <c r="G3428" s="3"/>
      <c r="N3428" s="3"/>
      <c r="Q3428" s="3"/>
      <c r="R3428" s="3"/>
      <c r="S3428" s="3"/>
      <c r="V3428" s="3"/>
      <c r="W3428" s="3"/>
      <c r="X3428" s="3"/>
      <c r="Y3428" s="3"/>
      <c r="Z3428" s="3"/>
      <c r="AA3428" s="3"/>
      <c r="AB3428" s="3"/>
    </row>
    <row r="3429" spans="1:28" x14ac:dyDescent="0.3">
      <c r="A3429" s="2"/>
      <c r="F3429" s="3"/>
      <c r="G3429" s="3"/>
      <c r="N3429" s="3"/>
      <c r="Q3429" s="3"/>
      <c r="R3429" s="3"/>
      <c r="S3429" s="3"/>
      <c r="V3429" s="3"/>
      <c r="W3429" s="3"/>
      <c r="X3429" s="3"/>
      <c r="Y3429" s="3"/>
      <c r="Z3429" s="3"/>
      <c r="AA3429" s="3"/>
      <c r="AB3429" s="3"/>
    </row>
    <row r="3430" spans="1:28" x14ac:dyDescent="0.3">
      <c r="A3430" s="2"/>
      <c r="F3430" s="3"/>
      <c r="G3430" s="3"/>
      <c r="N3430" s="3"/>
      <c r="Q3430" s="3"/>
      <c r="R3430" s="3"/>
      <c r="S3430" s="3"/>
      <c r="V3430" s="3"/>
      <c r="W3430" s="3"/>
      <c r="X3430" s="3"/>
      <c r="Y3430" s="3"/>
      <c r="Z3430" s="3"/>
      <c r="AA3430" s="3"/>
      <c r="AB3430" s="3"/>
    </row>
    <row r="3431" spans="1:28" x14ac:dyDescent="0.3">
      <c r="A3431" s="2"/>
      <c r="F3431" s="3"/>
      <c r="G3431" s="3"/>
      <c r="N3431" s="3"/>
      <c r="Q3431" s="3"/>
      <c r="R3431" s="3"/>
      <c r="S3431" s="3"/>
      <c r="V3431" s="3"/>
      <c r="W3431" s="3"/>
      <c r="X3431" s="3"/>
      <c r="Y3431" s="3"/>
      <c r="Z3431" s="3"/>
      <c r="AA3431" s="3"/>
      <c r="AB3431" s="3"/>
    </row>
    <row r="3432" spans="1:28" x14ac:dyDescent="0.3">
      <c r="A3432" s="2"/>
      <c r="F3432" s="3"/>
      <c r="G3432" s="3"/>
      <c r="N3432" s="3"/>
      <c r="Q3432" s="3"/>
      <c r="R3432" s="3"/>
      <c r="S3432" s="3"/>
      <c r="V3432" s="3"/>
      <c r="W3432" s="3"/>
      <c r="X3432" s="3"/>
      <c r="Y3432" s="3"/>
      <c r="Z3432" s="3"/>
      <c r="AA3432" s="3"/>
      <c r="AB3432" s="3"/>
    </row>
    <row r="3433" spans="1:28" x14ac:dyDescent="0.3">
      <c r="A3433" s="2"/>
      <c r="F3433" s="3"/>
      <c r="G3433" s="3"/>
      <c r="N3433" s="3"/>
      <c r="Q3433" s="3"/>
      <c r="R3433" s="3"/>
      <c r="S3433" s="3"/>
      <c r="V3433" s="3"/>
      <c r="W3433" s="3"/>
      <c r="X3433" s="3"/>
      <c r="Y3433" s="3"/>
      <c r="Z3433" s="3"/>
      <c r="AA3433" s="3"/>
      <c r="AB3433" s="3"/>
    </row>
    <row r="3434" spans="1:28" x14ac:dyDescent="0.3">
      <c r="A3434" s="2"/>
      <c r="F3434" s="3"/>
      <c r="G3434" s="3"/>
      <c r="N3434" s="3"/>
      <c r="Q3434" s="3"/>
      <c r="R3434" s="3"/>
      <c r="S3434" s="3"/>
      <c r="V3434" s="3"/>
      <c r="W3434" s="3"/>
      <c r="X3434" s="3"/>
      <c r="Y3434" s="3"/>
      <c r="Z3434" s="3"/>
      <c r="AA3434" s="3"/>
      <c r="AB3434" s="3"/>
    </row>
    <row r="3435" spans="1:28" x14ac:dyDescent="0.3">
      <c r="A3435" s="2"/>
      <c r="F3435" s="3"/>
      <c r="G3435" s="3"/>
      <c r="N3435" s="3"/>
      <c r="Q3435" s="3"/>
      <c r="R3435" s="3"/>
      <c r="S3435" s="3"/>
      <c r="V3435" s="3"/>
      <c r="W3435" s="3"/>
      <c r="X3435" s="3"/>
      <c r="Y3435" s="3"/>
      <c r="Z3435" s="3"/>
      <c r="AA3435" s="3"/>
      <c r="AB3435" s="3"/>
    </row>
    <row r="3436" spans="1:28" x14ac:dyDescent="0.3">
      <c r="A3436" s="2"/>
      <c r="F3436" s="3"/>
      <c r="G3436" s="3"/>
      <c r="N3436" s="3"/>
      <c r="Q3436" s="3"/>
      <c r="R3436" s="3"/>
      <c r="S3436" s="3"/>
      <c r="V3436" s="3"/>
      <c r="W3436" s="3"/>
      <c r="X3436" s="3"/>
      <c r="Y3436" s="3"/>
      <c r="Z3436" s="3"/>
      <c r="AA3436" s="3"/>
      <c r="AB3436" s="3"/>
    </row>
    <row r="3437" spans="1:28" x14ac:dyDescent="0.3">
      <c r="A3437" s="2"/>
      <c r="F3437" s="3"/>
      <c r="G3437" s="3"/>
      <c r="N3437" s="3"/>
      <c r="Q3437" s="3"/>
      <c r="R3437" s="3"/>
      <c r="S3437" s="3"/>
      <c r="V3437" s="3"/>
      <c r="W3437" s="3"/>
      <c r="X3437" s="3"/>
      <c r="Y3437" s="3"/>
      <c r="Z3437" s="3"/>
      <c r="AA3437" s="3"/>
      <c r="AB3437" s="3"/>
    </row>
    <row r="3438" spans="1:28" x14ac:dyDescent="0.3">
      <c r="A3438" s="2"/>
      <c r="F3438" s="3"/>
      <c r="G3438" s="3"/>
      <c r="N3438" s="3"/>
      <c r="Q3438" s="3"/>
      <c r="R3438" s="3"/>
      <c r="S3438" s="3"/>
      <c r="V3438" s="3"/>
      <c r="W3438" s="3"/>
      <c r="X3438" s="3"/>
      <c r="Y3438" s="3"/>
      <c r="Z3438" s="3"/>
      <c r="AA3438" s="3"/>
      <c r="AB3438" s="3"/>
    </row>
    <row r="3439" spans="1:28" x14ac:dyDescent="0.3">
      <c r="A3439" s="2"/>
      <c r="F3439" s="3"/>
      <c r="G3439" s="3"/>
      <c r="N3439" s="3"/>
      <c r="Q3439" s="3"/>
      <c r="R3439" s="3"/>
      <c r="S3439" s="3"/>
      <c r="V3439" s="3"/>
      <c r="W3439" s="3"/>
      <c r="X3439" s="3"/>
      <c r="Y3439" s="3"/>
      <c r="Z3439" s="3"/>
      <c r="AA3439" s="3"/>
      <c r="AB3439" s="3"/>
    </row>
    <row r="3440" spans="1:28" x14ac:dyDescent="0.3">
      <c r="A3440" s="2"/>
      <c r="F3440" s="3"/>
      <c r="G3440" s="3"/>
      <c r="N3440" s="3"/>
      <c r="Q3440" s="3"/>
      <c r="R3440" s="3"/>
      <c r="S3440" s="3"/>
      <c r="V3440" s="3"/>
      <c r="W3440" s="3"/>
      <c r="X3440" s="3"/>
      <c r="Y3440" s="3"/>
      <c r="Z3440" s="3"/>
      <c r="AA3440" s="3"/>
      <c r="AB3440" s="3"/>
    </row>
    <row r="3441" spans="1:28" x14ac:dyDescent="0.3">
      <c r="A3441" s="2"/>
      <c r="F3441" s="3"/>
      <c r="G3441" s="3"/>
      <c r="N3441" s="3"/>
      <c r="Q3441" s="3"/>
      <c r="R3441" s="3"/>
      <c r="S3441" s="3"/>
      <c r="V3441" s="3"/>
      <c r="W3441" s="3"/>
      <c r="X3441" s="3"/>
      <c r="Y3441" s="3"/>
      <c r="Z3441" s="3"/>
      <c r="AA3441" s="3"/>
      <c r="AB3441" s="3"/>
    </row>
    <row r="3442" spans="1:28" x14ac:dyDescent="0.3">
      <c r="A3442" s="2"/>
      <c r="F3442" s="3"/>
      <c r="G3442" s="3"/>
      <c r="N3442" s="3"/>
      <c r="Q3442" s="3"/>
      <c r="R3442" s="3"/>
      <c r="S3442" s="3"/>
      <c r="V3442" s="3"/>
      <c r="W3442" s="3"/>
      <c r="X3442" s="3"/>
      <c r="Y3442" s="3"/>
      <c r="Z3442" s="3"/>
      <c r="AA3442" s="3"/>
      <c r="AB3442" s="3"/>
    </row>
    <row r="3443" spans="1:28" x14ac:dyDescent="0.3">
      <c r="A3443" s="2"/>
      <c r="F3443" s="3"/>
      <c r="G3443" s="3"/>
      <c r="N3443" s="3"/>
      <c r="Q3443" s="3"/>
      <c r="R3443" s="3"/>
      <c r="S3443" s="3"/>
      <c r="V3443" s="3"/>
      <c r="W3443" s="3"/>
      <c r="X3443" s="3"/>
      <c r="Y3443" s="3"/>
      <c r="Z3443" s="3"/>
      <c r="AA3443" s="3"/>
      <c r="AB3443" s="3"/>
    </row>
    <row r="3444" spans="1:28" x14ac:dyDescent="0.3">
      <c r="A3444" s="2"/>
      <c r="F3444" s="3"/>
      <c r="G3444" s="3"/>
      <c r="N3444" s="3"/>
      <c r="Q3444" s="3"/>
      <c r="R3444" s="3"/>
      <c r="S3444" s="3"/>
      <c r="V3444" s="3"/>
      <c r="W3444" s="3"/>
      <c r="X3444" s="3"/>
      <c r="Y3444" s="3"/>
      <c r="Z3444" s="3"/>
      <c r="AA3444" s="3"/>
      <c r="AB3444" s="3"/>
    </row>
    <row r="3445" spans="1:28" x14ac:dyDescent="0.3">
      <c r="A3445" s="2"/>
      <c r="F3445" s="3"/>
      <c r="G3445" s="3"/>
      <c r="N3445" s="3"/>
      <c r="Q3445" s="3"/>
      <c r="R3445" s="3"/>
      <c r="S3445" s="3"/>
      <c r="V3445" s="3"/>
      <c r="W3445" s="3"/>
      <c r="X3445" s="3"/>
      <c r="Y3445" s="3"/>
      <c r="Z3445" s="3"/>
      <c r="AA3445" s="3"/>
      <c r="AB3445" s="3"/>
    </row>
    <row r="3446" spans="1:28" x14ac:dyDescent="0.3">
      <c r="A3446" s="2"/>
      <c r="F3446" s="3"/>
      <c r="G3446" s="3"/>
      <c r="N3446" s="3"/>
      <c r="Q3446" s="3"/>
      <c r="R3446" s="3"/>
      <c r="S3446" s="3"/>
      <c r="V3446" s="3"/>
      <c r="W3446" s="3"/>
      <c r="X3446" s="3"/>
      <c r="Y3446" s="3"/>
      <c r="Z3446" s="3"/>
      <c r="AA3446" s="3"/>
      <c r="AB3446" s="3"/>
    </row>
    <row r="3447" spans="1:28" x14ac:dyDescent="0.3">
      <c r="A3447" s="2"/>
      <c r="F3447" s="3"/>
      <c r="G3447" s="3"/>
      <c r="N3447" s="3"/>
      <c r="Q3447" s="3"/>
      <c r="R3447" s="3"/>
      <c r="S3447" s="3"/>
      <c r="V3447" s="3"/>
      <c r="W3447" s="3"/>
      <c r="X3447" s="3"/>
      <c r="Y3447" s="3"/>
      <c r="Z3447" s="3"/>
      <c r="AA3447" s="3"/>
      <c r="AB3447" s="3"/>
    </row>
    <row r="3448" spans="1:28" x14ac:dyDescent="0.3">
      <c r="A3448" s="2"/>
      <c r="F3448" s="3"/>
      <c r="G3448" s="3"/>
      <c r="N3448" s="3"/>
      <c r="Q3448" s="3"/>
      <c r="R3448" s="3"/>
      <c r="S3448" s="3"/>
      <c r="V3448" s="3"/>
      <c r="W3448" s="3"/>
      <c r="X3448" s="3"/>
      <c r="Y3448" s="3"/>
      <c r="Z3448" s="3"/>
      <c r="AA3448" s="3"/>
      <c r="AB3448" s="3"/>
    </row>
    <row r="3449" spans="1:28" x14ac:dyDescent="0.3">
      <c r="A3449" s="2"/>
      <c r="F3449" s="3"/>
      <c r="G3449" s="3"/>
      <c r="N3449" s="3"/>
      <c r="Q3449" s="3"/>
      <c r="R3449" s="3"/>
      <c r="S3449" s="3"/>
      <c r="V3449" s="3"/>
      <c r="W3449" s="3"/>
      <c r="X3449" s="3"/>
      <c r="Y3449" s="3"/>
      <c r="Z3449" s="3"/>
      <c r="AA3449" s="3"/>
      <c r="AB3449" s="3"/>
    </row>
    <row r="3450" spans="1:28" x14ac:dyDescent="0.3">
      <c r="A3450" s="2"/>
      <c r="F3450" s="3"/>
      <c r="G3450" s="3"/>
      <c r="N3450" s="3"/>
      <c r="Q3450" s="3"/>
      <c r="R3450" s="3"/>
      <c r="S3450" s="3"/>
      <c r="V3450" s="3"/>
      <c r="W3450" s="3"/>
      <c r="X3450" s="3"/>
      <c r="Y3450" s="3"/>
      <c r="Z3450" s="3"/>
      <c r="AA3450" s="3"/>
      <c r="AB3450" s="3"/>
    </row>
    <row r="3451" spans="1:28" x14ac:dyDescent="0.3">
      <c r="A3451" s="2"/>
      <c r="F3451" s="3"/>
      <c r="G3451" s="3"/>
      <c r="N3451" s="3"/>
      <c r="Q3451" s="3"/>
      <c r="R3451" s="3"/>
      <c r="S3451" s="3"/>
      <c r="V3451" s="3"/>
      <c r="W3451" s="3"/>
      <c r="X3451" s="3"/>
      <c r="Y3451" s="3"/>
      <c r="Z3451" s="3"/>
      <c r="AA3451" s="3"/>
      <c r="AB3451" s="3"/>
    </row>
    <row r="3452" spans="1:28" x14ac:dyDescent="0.3">
      <c r="A3452" s="2"/>
      <c r="F3452" s="3"/>
      <c r="G3452" s="3"/>
      <c r="N3452" s="3"/>
      <c r="Q3452" s="3"/>
      <c r="R3452" s="3"/>
      <c r="S3452" s="3"/>
      <c r="V3452" s="3"/>
      <c r="W3452" s="3"/>
      <c r="X3452" s="3"/>
      <c r="Y3452" s="3"/>
      <c r="Z3452" s="3"/>
      <c r="AA3452" s="3"/>
      <c r="AB3452" s="3"/>
    </row>
    <row r="3453" spans="1:28" x14ac:dyDescent="0.3">
      <c r="A3453" s="2"/>
      <c r="F3453" s="3"/>
      <c r="G3453" s="3"/>
      <c r="N3453" s="3"/>
      <c r="Q3453" s="3"/>
      <c r="R3453" s="3"/>
      <c r="S3453" s="3"/>
      <c r="V3453" s="3"/>
      <c r="W3453" s="3"/>
      <c r="X3453" s="3"/>
      <c r="Y3453" s="3"/>
      <c r="Z3453" s="3"/>
      <c r="AA3453" s="3"/>
      <c r="AB3453" s="3"/>
    </row>
    <row r="3454" spans="1:28" x14ac:dyDescent="0.3">
      <c r="A3454" s="2"/>
      <c r="F3454" s="3"/>
      <c r="G3454" s="3"/>
      <c r="N3454" s="3"/>
      <c r="Q3454" s="3"/>
      <c r="R3454" s="3"/>
      <c r="S3454" s="3"/>
      <c r="V3454" s="3"/>
      <c r="W3454" s="3"/>
      <c r="X3454" s="3"/>
      <c r="Y3454" s="3"/>
      <c r="Z3454" s="3"/>
      <c r="AA3454" s="3"/>
      <c r="AB3454" s="3"/>
    </row>
    <row r="3455" spans="1:28" x14ac:dyDescent="0.3">
      <c r="A3455" s="2"/>
      <c r="F3455" s="3"/>
      <c r="G3455" s="3"/>
      <c r="N3455" s="3"/>
      <c r="Q3455" s="3"/>
      <c r="R3455" s="3"/>
      <c r="S3455" s="3"/>
      <c r="V3455" s="3"/>
      <c r="W3455" s="3"/>
      <c r="X3455" s="3"/>
      <c r="Y3455" s="3"/>
      <c r="Z3455" s="3"/>
      <c r="AA3455" s="3"/>
      <c r="AB3455" s="3"/>
    </row>
    <row r="3456" spans="1:28" x14ac:dyDescent="0.3">
      <c r="A3456" s="2"/>
      <c r="F3456" s="3"/>
      <c r="G3456" s="3"/>
      <c r="N3456" s="3"/>
      <c r="Q3456" s="3"/>
      <c r="R3456" s="3"/>
      <c r="S3456" s="3"/>
      <c r="V3456" s="3"/>
      <c r="W3456" s="3"/>
      <c r="X3456" s="3"/>
      <c r="Y3456" s="3"/>
      <c r="Z3456" s="3"/>
      <c r="AA3456" s="3"/>
      <c r="AB3456" s="3"/>
    </row>
    <row r="3457" spans="1:28" x14ac:dyDescent="0.3">
      <c r="A3457" s="2"/>
      <c r="F3457" s="3"/>
      <c r="G3457" s="3"/>
      <c r="N3457" s="3"/>
      <c r="Q3457" s="3"/>
      <c r="R3457" s="3"/>
      <c r="S3457" s="3"/>
      <c r="V3457" s="3"/>
      <c r="W3457" s="3"/>
      <c r="X3457" s="3"/>
      <c r="Y3457" s="3"/>
      <c r="Z3457" s="3"/>
      <c r="AA3457" s="3"/>
      <c r="AB3457" s="3"/>
    </row>
    <row r="3458" spans="1:28" x14ac:dyDescent="0.3">
      <c r="A3458" s="2"/>
      <c r="F3458" s="3"/>
      <c r="G3458" s="3"/>
      <c r="N3458" s="3"/>
      <c r="Q3458" s="3"/>
      <c r="R3458" s="3"/>
      <c r="S3458" s="3"/>
      <c r="V3458" s="3"/>
      <c r="W3458" s="3"/>
      <c r="X3458" s="3"/>
      <c r="Y3458" s="3"/>
      <c r="Z3458" s="3"/>
      <c r="AA3458" s="3"/>
      <c r="AB3458" s="3"/>
    </row>
    <row r="3459" spans="1:28" x14ac:dyDescent="0.3">
      <c r="A3459" s="2"/>
      <c r="F3459" s="3"/>
      <c r="G3459" s="3"/>
      <c r="N3459" s="3"/>
      <c r="Q3459" s="3"/>
      <c r="R3459" s="3"/>
      <c r="S3459" s="3"/>
      <c r="V3459" s="3"/>
      <c r="W3459" s="3"/>
      <c r="X3459" s="3"/>
      <c r="Y3459" s="3"/>
      <c r="Z3459" s="3"/>
      <c r="AA3459" s="3"/>
      <c r="AB3459" s="3"/>
    </row>
    <row r="3460" spans="1:28" x14ac:dyDescent="0.3">
      <c r="A3460" s="2"/>
      <c r="F3460" s="3"/>
      <c r="G3460" s="3"/>
      <c r="N3460" s="3"/>
      <c r="Q3460" s="3"/>
      <c r="R3460" s="3"/>
      <c r="S3460" s="3"/>
      <c r="V3460" s="3"/>
      <c r="W3460" s="3"/>
      <c r="X3460" s="3"/>
      <c r="Y3460" s="3"/>
      <c r="Z3460" s="3"/>
      <c r="AA3460" s="3"/>
      <c r="AB3460" s="3"/>
    </row>
    <row r="3461" spans="1:28" x14ac:dyDescent="0.3">
      <c r="A3461" s="2"/>
      <c r="F3461" s="3"/>
      <c r="G3461" s="3"/>
      <c r="N3461" s="3"/>
      <c r="Q3461" s="3"/>
      <c r="R3461" s="3"/>
      <c r="S3461" s="3"/>
      <c r="V3461" s="3"/>
      <c r="W3461" s="3"/>
      <c r="X3461" s="3"/>
      <c r="Y3461" s="3"/>
      <c r="Z3461" s="3"/>
      <c r="AA3461" s="3"/>
      <c r="AB3461" s="3"/>
    </row>
    <row r="3462" spans="1:28" x14ac:dyDescent="0.3">
      <c r="A3462" s="2"/>
      <c r="F3462" s="3"/>
      <c r="G3462" s="3"/>
      <c r="N3462" s="3"/>
      <c r="Q3462" s="3"/>
      <c r="R3462" s="3"/>
      <c r="S3462" s="3"/>
      <c r="V3462" s="3"/>
      <c r="W3462" s="3"/>
      <c r="X3462" s="3"/>
      <c r="Y3462" s="3"/>
      <c r="Z3462" s="3"/>
      <c r="AA3462" s="3"/>
      <c r="AB3462" s="3"/>
    </row>
    <row r="3463" spans="1:28" x14ac:dyDescent="0.3">
      <c r="A3463" s="2"/>
      <c r="F3463" s="3"/>
      <c r="G3463" s="3"/>
      <c r="N3463" s="3"/>
      <c r="Q3463" s="3"/>
      <c r="R3463" s="3"/>
      <c r="S3463" s="3"/>
      <c r="V3463" s="3"/>
      <c r="W3463" s="3"/>
      <c r="X3463" s="3"/>
      <c r="Y3463" s="3"/>
      <c r="Z3463" s="3"/>
      <c r="AA3463" s="3"/>
      <c r="AB3463" s="3"/>
    </row>
    <row r="3464" spans="1:28" x14ac:dyDescent="0.3">
      <c r="A3464" s="2"/>
      <c r="F3464" s="3"/>
      <c r="G3464" s="3"/>
      <c r="N3464" s="3"/>
      <c r="Q3464" s="3"/>
      <c r="R3464" s="3"/>
      <c r="S3464" s="3"/>
      <c r="V3464" s="3"/>
      <c r="W3464" s="3"/>
      <c r="X3464" s="3"/>
      <c r="Y3464" s="3"/>
      <c r="Z3464" s="3"/>
      <c r="AA3464" s="3"/>
      <c r="AB3464" s="3"/>
    </row>
    <row r="3465" spans="1:28" x14ac:dyDescent="0.3">
      <c r="A3465" s="2"/>
      <c r="F3465" s="3"/>
      <c r="G3465" s="3"/>
      <c r="N3465" s="3"/>
      <c r="Q3465" s="3"/>
      <c r="R3465" s="3"/>
      <c r="S3465" s="3"/>
      <c r="V3465" s="3"/>
      <c r="W3465" s="3"/>
      <c r="X3465" s="3"/>
      <c r="Y3465" s="3"/>
      <c r="Z3465" s="3"/>
      <c r="AA3465" s="3"/>
      <c r="AB3465" s="3"/>
    </row>
    <row r="3466" spans="1:28" x14ac:dyDescent="0.3">
      <c r="A3466" s="2"/>
      <c r="F3466" s="3"/>
      <c r="G3466" s="3"/>
      <c r="N3466" s="3"/>
      <c r="Q3466" s="3"/>
      <c r="R3466" s="3"/>
      <c r="S3466" s="3"/>
      <c r="V3466" s="3"/>
      <c r="W3466" s="3"/>
      <c r="X3466" s="3"/>
      <c r="Y3466" s="3"/>
      <c r="Z3466" s="3"/>
      <c r="AA3466" s="3"/>
      <c r="AB3466" s="3"/>
    </row>
    <row r="3467" spans="1:28" x14ac:dyDescent="0.3">
      <c r="A3467" s="2"/>
      <c r="F3467" s="3"/>
      <c r="G3467" s="3"/>
      <c r="N3467" s="3"/>
      <c r="Q3467" s="3"/>
      <c r="R3467" s="3"/>
      <c r="S3467" s="3"/>
      <c r="V3467" s="3"/>
      <c r="W3467" s="3"/>
      <c r="X3467" s="3"/>
      <c r="Y3467" s="3"/>
      <c r="Z3467" s="3"/>
      <c r="AA3467" s="3"/>
      <c r="AB3467" s="3"/>
    </row>
    <row r="3468" spans="1:28" x14ac:dyDescent="0.3">
      <c r="A3468" s="2"/>
      <c r="F3468" s="3"/>
      <c r="G3468" s="3"/>
      <c r="N3468" s="3"/>
      <c r="Q3468" s="3"/>
      <c r="R3468" s="3"/>
      <c r="S3468" s="3"/>
      <c r="V3468" s="3"/>
      <c r="W3468" s="3"/>
      <c r="X3468" s="3"/>
      <c r="Y3468" s="3"/>
      <c r="Z3468" s="3"/>
      <c r="AA3468" s="3"/>
      <c r="AB3468" s="3"/>
    </row>
    <row r="3469" spans="1:28" x14ac:dyDescent="0.3">
      <c r="A3469" s="2"/>
      <c r="F3469" s="3"/>
      <c r="G3469" s="3"/>
      <c r="N3469" s="3"/>
      <c r="Q3469" s="3"/>
      <c r="R3469" s="3"/>
      <c r="S3469" s="3"/>
      <c r="V3469" s="3"/>
      <c r="W3469" s="3"/>
      <c r="X3469" s="3"/>
      <c r="Y3469" s="3"/>
      <c r="Z3469" s="3"/>
      <c r="AA3469" s="3"/>
      <c r="AB3469" s="3"/>
    </row>
    <row r="3470" spans="1:28" x14ac:dyDescent="0.3">
      <c r="A3470" s="2"/>
      <c r="F3470" s="3"/>
      <c r="G3470" s="3"/>
      <c r="N3470" s="3"/>
      <c r="Q3470" s="3"/>
      <c r="R3470" s="3"/>
      <c r="S3470" s="3"/>
      <c r="V3470" s="3"/>
      <c r="W3470" s="3"/>
      <c r="X3470" s="3"/>
      <c r="Y3470" s="3"/>
      <c r="Z3470" s="3"/>
      <c r="AA3470" s="3"/>
      <c r="AB3470" s="3"/>
    </row>
    <row r="3471" spans="1:28" x14ac:dyDescent="0.3">
      <c r="A3471" s="2"/>
      <c r="F3471" s="3"/>
      <c r="G3471" s="3"/>
      <c r="N3471" s="3"/>
      <c r="Q3471" s="3"/>
      <c r="R3471" s="3"/>
      <c r="S3471" s="3"/>
      <c r="V3471" s="3"/>
      <c r="W3471" s="3"/>
      <c r="X3471" s="3"/>
      <c r="Y3471" s="3"/>
      <c r="Z3471" s="3"/>
      <c r="AA3471" s="3"/>
      <c r="AB3471" s="3"/>
    </row>
    <row r="3472" spans="1:28" x14ac:dyDescent="0.3">
      <c r="A3472" s="2"/>
      <c r="F3472" s="3"/>
      <c r="G3472" s="3"/>
      <c r="N3472" s="3"/>
      <c r="Q3472" s="3"/>
      <c r="R3472" s="3"/>
      <c r="S3472" s="3"/>
      <c r="V3472" s="3"/>
      <c r="W3472" s="3"/>
      <c r="X3472" s="3"/>
      <c r="Y3472" s="3"/>
      <c r="Z3472" s="3"/>
      <c r="AA3472" s="3"/>
      <c r="AB3472" s="3"/>
    </row>
    <row r="3473" spans="1:28" x14ac:dyDescent="0.3">
      <c r="A3473" s="2"/>
      <c r="F3473" s="3"/>
      <c r="G3473" s="3"/>
      <c r="N3473" s="3"/>
      <c r="Q3473" s="3"/>
      <c r="R3473" s="3"/>
      <c r="S3473" s="3"/>
      <c r="V3473" s="3"/>
      <c r="W3473" s="3"/>
      <c r="X3473" s="3"/>
      <c r="Y3473" s="3"/>
      <c r="Z3473" s="3"/>
      <c r="AA3473" s="3"/>
      <c r="AB3473" s="3"/>
    </row>
    <row r="3474" spans="1:28" x14ac:dyDescent="0.3">
      <c r="A3474" s="2"/>
      <c r="F3474" s="3"/>
      <c r="G3474" s="3"/>
      <c r="N3474" s="3"/>
      <c r="Q3474" s="3"/>
      <c r="R3474" s="3"/>
      <c r="S3474" s="3"/>
      <c r="V3474" s="3"/>
      <c r="W3474" s="3"/>
      <c r="X3474" s="3"/>
      <c r="Y3474" s="3"/>
      <c r="Z3474" s="3"/>
      <c r="AA3474" s="3"/>
      <c r="AB3474" s="3"/>
    </row>
    <row r="3475" spans="1:28" x14ac:dyDescent="0.3">
      <c r="A3475" s="2"/>
      <c r="F3475" s="3"/>
      <c r="G3475" s="3"/>
      <c r="N3475" s="3"/>
      <c r="Q3475" s="3"/>
      <c r="R3475" s="3"/>
      <c r="S3475" s="3"/>
      <c r="V3475" s="3"/>
      <c r="W3475" s="3"/>
      <c r="X3475" s="3"/>
      <c r="Y3475" s="3"/>
      <c r="Z3475" s="3"/>
      <c r="AA3475" s="3"/>
      <c r="AB3475" s="3"/>
    </row>
    <row r="3476" spans="1:28" x14ac:dyDescent="0.3">
      <c r="A3476" s="2"/>
      <c r="F3476" s="3"/>
      <c r="G3476" s="3"/>
      <c r="N3476" s="3"/>
      <c r="Q3476" s="3"/>
      <c r="R3476" s="3"/>
      <c r="S3476" s="3"/>
      <c r="V3476" s="3"/>
      <c r="W3476" s="3"/>
      <c r="X3476" s="3"/>
      <c r="Y3476" s="3"/>
      <c r="Z3476" s="3"/>
      <c r="AA3476" s="3"/>
      <c r="AB3476" s="3"/>
    </row>
    <row r="3477" spans="1:28" x14ac:dyDescent="0.3">
      <c r="A3477" s="2"/>
      <c r="F3477" s="3"/>
      <c r="G3477" s="3"/>
      <c r="N3477" s="3"/>
      <c r="Q3477" s="3"/>
      <c r="R3477" s="3"/>
      <c r="S3477" s="3"/>
      <c r="V3477" s="3"/>
      <c r="W3477" s="3"/>
      <c r="X3477" s="3"/>
      <c r="Y3477" s="3"/>
      <c r="Z3477" s="3"/>
      <c r="AA3477" s="3"/>
      <c r="AB3477" s="3"/>
    </row>
    <row r="3478" spans="1:28" x14ac:dyDescent="0.3">
      <c r="A3478" s="2"/>
      <c r="F3478" s="3"/>
      <c r="G3478" s="3"/>
      <c r="N3478" s="3"/>
      <c r="Q3478" s="3"/>
      <c r="R3478" s="3"/>
      <c r="S3478" s="3"/>
      <c r="V3478" s="3"/>
      <c r="W3478" s="3"/>
      <c r="X3478" s="3"/>
      <c r="Y3478" s="3"/>
      <c r="Z3478" s="3"/>
      <c r="AA3478" s="3"/>
      <c r="AB3478" s="3"/>
    </row>
    <row r="3479" spans="1:28" x14ac:dyDescent="0.3">
      <c r="A3479" s="2"/>
      <c r="F3479" s="3"/>
      <c r="G3479" s="3"/>
      <c r="N3479" s="3"/>
      <c r="Q3479" s="3"/>
      <c r="R3479" s="3"/>
      <c r="S3479" s="3"/>
      <c r="V3479" s="3"/>
      <c r="W3479" s="3"/>
      <c r="X3479" s="3"/>
      <c r="Y3479" s="3"/>
      <c r="Z3479" s="3"/>
      <c r="AA3479" s="3"/>
      <c r="AB3479" s="3"/>
    </row>
    <row r="3480" spans="1:28" x14ac:dyDescent="0.3">
      <c r="A3480" s="2"/>
      <c r="F3480" s="3"/>
      <c r="G3480" s="3"/>
      <c r="N3480" s="3"/>
      <c r="Q3480" s="3"/>
      <c r="R3480" s="3"/>
      <c r="S3480" s="3"/>
      <c r="V3480" s="3"/>
      <c r="W3480" s="3"/>
      <c r="X3480" s="3"/>
      <c r="Y3480" s="3"/>
      <c r="Z3480" s="3"/>
      <c r="AA3480" s="3"/>
      <c r="AB3480" s="3"/>
    </row>
    <row r="3481" spans="1:28" x14ac:dyDescent="0.3">
      <c r="A3481" s="2"/>
      <c r="F3481" s="3"/>
      <c r="G3481" s="3"/>
      <c r="N3481" s="3"/>
      <c r="Q3481" s="3"/>
      <c r="R3481" s="3"/>
      <c r="S3481" s="3"/>
      <c r="V3481" s="3"/>
      <c r="W3481" s="3"/>
      <c r="X3481" s="3"/>
      <c r="Y3481" s="3"/>
      <c r="Z3481" s="3"/>
      <c r="AA3481" s="3"/>
      <c r="AB3481" s="3"/>
    </row>
    <row r="3482" spans="1:28" x14ac:dyDescent="0.3">
      <c r="A3482" s="2"/>
      <c r="F3482" s="3"/>
      <c r="G3482" s="3"/>
      <c r="N3482" s="3"/>
      <c r="Q3482" s="3"/>
      <c r="R3482" s="3"/>
      <c r="S3482" s="3"/>
      <c r="V3482" s="3"/>
      <c r="W3482" s="3"/>
      <c r="X3482" s="3"/>
      <c r="Y3482" s="3"/>
      <c r="Z3482" s="3"/>
      <c r="AA3482" s="3"/>
      <c r="AB3482" s="3"/>
    </row>
    <row r="3483" spans="1:28" x14ac:dyDescent="0.3">
      <c r="A3483" s="2"/>
      <c r="F3483" s="3"/>
      <c r="G3483" s="3"/>
      <c r="N3483" s="3"/>
      <c r="Q3483" s="3"/>
      <c r="R3483" s="3"/>
      <c r="S3483" s="3"/>
      <c r="V3483" s="3"/>
      <c r="W3483" s="3"/>
      <c r="X3483" s="3"/>
      <c r="Y3483" s="3"/>
      <c r="Z3483" s="3"/>
      <c r="AA3483" s="3"/>
      <c r="AB3483" s="3"/>
    </row>
    <row r="3484" spans="1:28" x14ac:dyDescent="0.3">
      <c r="A3484" s="2"/>
      <c r="F3484" s="3"/>
      <c r="G3484" s="3"/>
      <c r="N3484" s="3"/>
      <c r="Q3484" s="3"/>
      <c r="R3484" s="3"/>
      <c r="S3484" s="3"/>
      <c r="V3484" s="3"/>
      <c r="W3484" s="3"/>
      <c r="X3484" s="3"/>
      <c r="Y3484" s="3"/>
      <c r="Z3484" s="3"/>
      <c r="AA3484" s="3"/>
      <c r="AB3484" s="3"/>
    </row>
    <row r="3485" spans="1:28" x14ac:dyDescent="0.3">
      <c r="A3485" s="2"/>
      <c r="F3485" s="3"/>
      <c r="G3485" s="3"/>
      <c r="N3485" s="3"/>
      <c r="Q3485" s="3"/>
      <c r="R3485" s="3"/>
      <c r="S3485" s="3"/>
      <c r="V3485" s="3"/>
      <c r="W3485" s="3"/>
      <c r="X3485" s="3"/>
      <c r="Y3485" s="3"/>
      <c r="Z3485" s="3"/>
      <c r="AA3485" s="3"/>
      <c r="AB3485" s="3"/>
    </row>
    <row r="3486" spans="1:28" x14ac:dyDescent="0.3">
      <c r="A3486" s="2"/>
      <c r="F3486" s="3"/>
      <c r="G3486" s="3"/>
      <c r="N3486" s="3"/>
      <c r="Q3486" s="3"/>
      <c r="R3486" s="3"/>
      <c r="S3486" s="3"/>
      <c r="V3486" s="3"/>
      <c r="W3486" s="3"/>
      <c r="X3486" s="3"/>
      <c r="Y3486" s="3"/>
      <c r="Z3486" s="3"/>
      <c r="AA3486" s="3"/>
      <c r="AB3486" s="3"/>
    </row>
    <row r="3487" spans="1:28" x14ac:dyDescent="0.3">
      <c r="A3487" s="2"/>
      <c r="F3487" s="3"/>
      <c r="G3487" s="3"/>
      <c r="N3487" s="3"/>
      <c r="Q3487" s="3"/>
      <c r="R3487" s="3"/>
      <c r="S3487" s="3"/>
      <c r="V3487" s="3"/>
      <c r="W3487" s="3"/>
      <c r="X3487" s="3"/>
      <c r="Y3487" s="3"/>
      <c r="Z3487" s="3"/>
      <c r="AA3487" s="3"/>
      <c r="AB3487" s="3"/>
    </row>
    <row r="3488" spans="1:28" x14ac:dyDescent="0.3">
      <c r="A3488" s="2"/>
      <c r="F3488" s="3"/>
      <c r="G3488" s="3"/>
      <c r="N3488" s="3"/>
      <c r="Q3488" s="3"/>
      <c r="R3488" s="3"/>
      <c r="S3488" s="3"/>
      <c r="V3488" s="3"/>
      <c r="W3488" s="3"/>
      <c r="X3488" s="3"/>
      <c r="Y3488" s="3"/>
      <c r="Z3488" s="3"/>
      <c r="AA3488" s="3"/>
      <c r="AB3488" s="3"/>
    </row>
    <row r="3489" spans="1:28" x14ac:dyDescent="0.3">
      <c r="A3489" s="2"/>
      <c r="F3489" s="3"/>
      <c r="G3489" s="3"/>
      <c r="N3489" s="3"/>
      <c r="Q3489" s="3"/>
      <c r="R3489" s="3"/>
      <c r="S3489" s="3"/>
      <c r="V3489" s="3"/>
      <c r="W3489" s="3"/>
      <c r="X3489" s="3"/>
      <c r="Y3489" s="3"/>
      <c r="Z3489" s="3"/>
      <c r="AA3489" s="3"/>
      <c r="AB3489" s="3"/>
    </row>
    <row r="3490" spans="1:28" x14ac:dyDescent="0.3">
      <c r="A3490" s="2"/>
      <c r="F3490" s="3"/>
      <c r="G3490" s="3"/>
      <c r="N3490" s="3"/>
      <c r="Q3490" s="3"/>
      <c r="R3490" s="3"/>
      <c r="S3490" s="3"/>
      <c r="V3490" s="3"/>
      <c r="W3490" s="3"/>
      <c r="X3490" s="3"/>
      <c r="Y3490" s="3"/>
      <c r="Z3490" s="3"/>
      <c r="AA3490" s="3"/>
      <c r="AB3490" s="3"/>
    </row>
    <row r="3491" spans="1:28" x14ac:dyDescent="0.3">
      <c r="A3491" s="2"/>
      <c r="F3491" s="3"/>
      <c r="G3491" s="3"/>
      <c r="N3491" s="3"/>
      <c r="Q3491" s="3"/>
      <c r="R3491" s="3"/>
      <c r="S3491" s="3"/>
      <c r="V3491" s="3"/>
      <c r="W3491" s="3"/>
      <c r="X3491" s="3"/>
      <c r="Y3491" s="3"/>
      <c r="Z3491" s="3"/>
      <c r="AA3491" s="3"/>
      <c r="AB3491" s="3"/>
    </row>
    <row r="3492" spans="1:28" x14ac:dyDescent="0.3">
      <c r="A3492" s="2"/>
      <c r="F3492" s="3"/>
      <c r="G3492" s="3"/>
      <c r="N3492" s="3"/>
      <c r="Q3492" s="3"/>
      <c r="R3492" s="3"/>
      <c r="S3492" s="3"/>
      <c r="V3492" s="3"/>
      <c r="W3492" s="3"/>
      <c r="X3492" s="3"/>
      <c r="Y3492" s="3"/>
      <c r="Z3492" s="3"/>
      <c r="AA3492" s="3"/>
      <c r="AB3492" s="3"/>
    </row>
    <row r="3493" spans="1:28" x14ac:dyDescent="0.3">
      <c r="A3493" s="2"/>
      <c r="F3493" s="3"/>
      <c r="G3493" s="3"/>
      <c r="N3493" s="3"/>
      <c r="Q3493" s="3"/>
      <c r="R3493" s="3"/>
      <c r="S3493" s="3"/>
      <c r="V3493" s="3"/>
      <c r="W3493" s="3"/>
      <c r="X3493" s="3"/>
      <c r="Y3493" s="3"/>
      <c r="Z3493" s="3"/>
      <c r="AA3493" s="3"/>
      <c r="AB3493" s="3"/>
    </row>
    <row r="3494" spans="1:28" x14ac:dyDescent="0.3">
      <c r="A3494" s="2"/>
      <c r="F3494" s="3"/>
      <c r="G3494" s="3"/>
      <c r="N3494" s="3"/>
      <c r="Q3494" s="3"/>
      <c r="R3494" s="3"/>
      <c r="S3494" s="3"/>
      <c r="V3494" s="3"/>
      <c r="W3494" s="3"/>
      <c r="X3494" s="3"/>
      <c r="Y3494" s="3"/>
      <c r="Z3494" s="3"/>
      <c r="AA3494" s="3"/>
      <c r="AB3494" s="3"/>
    </row>
    <row r="3495" spans="1:28" x14ac:dyDescent="0.3">
      <c r="A3495" s="2"/>
      <c r="F3495" s="3"/>
      <c r="G3495" s="3"/>
      <c r="N3495" s="3"/>
      <c r="Q3495" s="3"/>
      <c r="R3495" s="3"/>
      <c r="S3495" s="3"/>
      <c r="V3495" s="3"/>
      <c r="W3495" s="3"/>
      <c r="X3495" s="3"/>
      <c r="Y3495" s="3"/>
      <c r="Z3495" s="3"/>
      <c r="AA3495" s="3"/>
      <c r="AB3495" s="3"/>
    </row>
    <row r="3496" spans="1:28" x14ac:dyDescent="0.3">
      <c r="A3496" s="2"/>
      <c r="F3496" s="3"/>
      <c r="G3496" s="3"/>
      <c r="N3496" s="3"/>
      <c r="Q3496" s="3"/>
      <c r="R3496" s="3"/>
      <c r="S3496" s="3"/>
      <c r="V3496" s="3"/>
      <c r="W3496" s="3"/>
      <c r="X3496" s="3"/>
      <c r="Y3496" s="3"/>
      <c r="Z3496" s="3"/>
      <c r="AA3496" s="3"/>
      <c r="AB3496" s="3"/>
    </row>
    <row r="3497" spans="1:28" x14ac:dyDescent="0.3">
      <c r="A3497" s="2"/>
      <c r="F3497" s="3"/>
      <c r="G3497" s="3"/>
      <c r="N3497" s="3"/>
      <c r="Q3497" s="3"/>
      <c r="R3497" s="3"/>
      <c r="S3497" s="3"/>
      <c r="V3497" s="3"/>
      <c r="W3497" s="3"/>
      <c r="X3497" s="3"/>
      <c r="Y3497" s="3"/>
      <c r="Z3497" s="3"/>
      <c r="AA3497" s="3"/>
      <c r="AB3497" s="3"/>
    </row>
    <row r="3498" spans="1:28" x14ac:dyDescent="0.3">
      <c r="A3498" s="2"/>
      <c r="F3498" s="3"/>
      <c r="G3498" s="3"/>
      <c r="N3498" s="3"/>
      <c r="Q3498" s="3"/>
      <c r="R3498" s="3"/>
      <c r="S3498" s="3"/>
      <c r="V3498" s="3"/>
      <c r="W3498" s="3"/>
      <c r="X3498" s="3"/>
      <c r="Y3498" s="3"/>
      <c r="Z3498" s="3"/>
      <c r="AA3498" s="3"/>
      <c r="AB3498" s="3"/>
    </row>
    <row r="3499" spans="1:28" x14ac:dyDescent="0.3">
      <c r="A3499" s="2"/>
      <c r="F3499" s="3"/>
      <c r="G3499" s="3"/>
      <c r="N3499" s="3"/>
      <c r="Q3499" s="3"/>
      <c r="R3499" s="3"/>
      <c r="S3499" s="3"/>
      <c r="V3499" s="3"/>
      <c r="W3499" s="3"/>
      <c r="X3499" s="3"/>
      <c r="Y3499" s="3"/>
      <c r="Z3499" s="3"/>
      <c r="AA3499" s="3"/>
      <c r="AB3499" s="3"/>
    </row>
    <row r="3500" spans="1:28" x14ac:dyDescent="0.3">
      <c r="A3500" s="2"/>
      <c r="F3500" s="3"/>
      <c r="G3500" s="3"/>
      <c r="N3500" s="3"/>
      <c r="Q3500" s="3"/>
      <c r="R3500" s="3"/>
      <c r="S3500" s="3"/>
      <c r="V3500" s="3"/>
      <c r="W3500" s="3"/>
      <c r="X3500" s="3"/>
      <c r="Y3500" s="3"/>
      <c r="Z3500" s="3"/>
      <c r="AA3500" s="3"/>
      <c r="AB3500" s="3"/>
    </row>
    <row r="3501" spans="1:28" x14ac:dyDescent="0.3">
      <c r="A3501" s="2"/>
      <c r="F3501" s="3"/>
      <c r="G3501" s="3"/>
      <c r="N3501" s="3"/>
      <c r="Q3501" s="3"/>
      <c r="R3501" s="3"/>
      <c r="S3501" s="3"/>
      <c r="V3501" s="3"/>
      <c r="W3501" s="3"/>
      <c r="X3501" s="3"/>
      <c r="Y3501" s="3"/>
      <c r="Z3501" s="3"/>
      <c r="AA3501" s="3"/>
      <c r="AB3501" s="3"/>
    </row>
    <row r="3502" spans="1:28" x14ac:dyDescent="0.3">
      <c r="A3502" s="2"/>
      <c r="F3502" s="3"/>
      <c r="G3502" s="3"/>
      <c r="N3502" s="3"/>
      <c r="Q3502" s="3"/>
      <c r="R3502" s="3"/>
      <c r="S3502" s="3"/>
      <c r="V3502" s="3"/>
      <c r="W3502" s="3"/>
      <c r="X3502" s="3"/>
      <c r="Y3502" s="3"/>
      <c r="Z3502" s="3"/>
      <c r="AA3502" s="3"/>
      <c r="AB3502" s="3"/>
    </row>
    <row r="3503" spans="1:28" x14ac:dyDescent="0.3">
      <c r="A3503" s="2"/>
      <c r="F3503" s="3"/>
      <c r="G3503" s="3"/>
      <c r="N3503" s="3"/>
      <c r="Q3503" s="3"/>
      <c r="R3503" s="3"/>
      <c r="S3503" s="3"/>
      <c r="V3503" s="3"/>
      <c r="W3503" s="3"/>
      <c r="X3503" s="3"/>
      <c r="Y3503" s="3"/>
      <c r="Z3503" s="3"/>
      <c r="AA3503" s="3"/>
      <c r="AB3503" s="3"/>
    </row>
    <row r="3504" spans="1:28" x14ac:dyDescent="0.3">
      <c r="A3504" s="2"/>
      <c r="F3504" s="3"/>
      <c r="G3504" s="3"/>
      <c r="N3504" s="3"/>
      <c r="Q3504" s="3"/>
      <c r="R3504" s="3"/>
      <c r="S3504" s="3"/>
      <c r="V3504" s="3"/>
      <c r="W3504" s="3"/>
      <c r="X3504" s="3"/>
      <c r="Y3504" s="3"/>
      <c r="Z3504" s="3"/>
      <c r="AA3504" s="3"/>
      <c r="AB3504" s="3"/>
    </row>
    <row r="3505" spans="1:28" x14ac:dyDescent="0.3">
      <c r="A3505" s="2"/>
      <c r="F3505" s="3"/>
      <c r="G3505" s="3"/>
      <c r="N3505" s="3"/>
      <c r="Q3505" s="3"/>
      <c r="R3505" s="3"/>
      <c r="S3505" s="3"/>
      <c r="V3505" s="3"/>
      <c r="W3505" s="3"/>
      <c r="X3505" s="3"/>
      <c r="Y3505" s="3"/>
      <c r="Z3505" s="3"/>
      <c r="AA3505" s="3"/>
      <c r="AB3505" s="3"/>
    </row>
    <row r="3506" spans="1:28" x14ac:dyDescent="0.3">
      <c r="A3506" s="2"/>
      <c r="F3506" s="3"/>
      <c r="G3506" s="3"/>
      <c r="N3506" s="3"/>
      <c r="Q3506" s="3"/>
      <c r="R3506" s="3"/>
      <c r="S3506" s="3"/>
      <c r="V3506" s="3"/>
      <c r="W3506" s="3"/>
      <c r="X3506" s="3"/>
      <c r="Y3506" s="3"/>
      <c r="Z3506" s="3"/>
      <c r="AA3506" s="3"/>
      <c r="AB3506" s="3"/>
    </row>
    <row r="3507" spans="1:28" x14ac:dyDescent="0.3">
      <c r="A3507" s="2"/>
      <c r="F3507" s="3"/>
      <c r="G3507" s="3"/>
      <c r="N3507" s="3"/>
      <c r="Q3507" s="3"/>
      <c r="R3507" s="3"/>
      <c r="S3507" s="3"/>
      <c r="V3507" s="3"/>
      <c r="W3507" s="3"/>
      <c r="X3507" s="3"/>
      <c r="Y3507" s="3"/>
      <c r="Z3507" s="3"/>
      <c r="AA3507" s="3"/>
      <c r="AB3507" s="3"/>
    </row>
    <row r="3508" spans="1:28" x14ac:dyDescent="0.3">
      <c r="A3508" s="2"/>
      <c r="F3508" s="3"/>
      <c r="G3508" s="3"/>
      <c r="N3508" s="3"/>
      <c r="Q3508" s="3"/>
      <c r="R3508" s="3"/>
      <c r="S3508" s="3"/>
      <c r="V3508" s="3"/>
      <c r="W3508" s="3"/>
      <c r="X3508" s="3"/>
      <c r="Y3508" s="3"/>
      <c r="Z3508" s="3"/>
      <c r="AA3508" s="3"/>
      <c r="AB3508" s="3"/>
    </row>
    <row r="3509" spans="1:28" x14ac:dyDescent="0.3">
      <c r="A3509" s="2"/>
      <c r="F3509" s="3"/>
      <c r="G3509" s="3"/>
      <c r="N3509" s="3"/>
      <c r="Q3509" s="3"/>
      <c r="R3509" s="3"/>
      <c r="S3509" s="3"/>
      <c r="V3509" s="3"/>
      <c r="W3509" s="3"/>
      <c r="X3509" s="3"/>
      <c r="Y3509" s="3"/>
      <c r="Z3509" s="3"/>
      <c r="AA3509" s="3"/>
      <c r="AB3509" s="3"/>
    </row>
    <row r="3510" spans="1:28" x14ac:dyDescent="0.3">
      <c r="A3510" s="2"/>
      <c r="F3510" s="3"/>
      <c r="G3510" s="3"/>
      <c r="N3510" s="3"/>
      <c r="Q3510" s="3"/>
      <c r="R3510" s="3"/>
      <c r="S3510" s="3"/>
      <c r="V3510" s="3"/>
      <c r="W3510" s="3"/>
      <c r="X3510" s="3"/>
      <c r="Y3510" s="3"/>
      <c r="Z3510" s="3"/>
      <c r="AA3510" s="3"/>
      <c r="AB3510" s="3"/>
    </row>
    <row r="3511" spans="1:28" x14ac:dyDescent="0.3">
      <c r="A3511" s="2"/>
      <c r="F3511" s="3"/>
      <c r="G3511" s="3"/>
      <c r="N3511" s="3"/>
      <c r="Q3511" s="3"/>
      <c r="R3511" s="3"/>
      <c r="S3511" s="3"/>
      <c r="V3511" s="3"/>
      <c r="W3511" s="3"/>
      <c r="X3511" s="3"/>
      <c r="Y3511" s="3"/>
      <c r="Z3511" s="3"/>
      <c r="AA3511" s="3"/>
      <c r="AB3511" s="3"/>
    </row>
    <row r="3512" spans="1:28" x14ac:dyDescent="0.3">
      <c r="A3512" s="2"/>
      <c r="F3512" s="3"/>
      <c r="G3512" s="3"/>
      <c r="N3512" s="3"/>
      <c r="Q3512" s="3"/>
      <c r="R3512" s="3"/>
      <c r="S3512" s="3"/>
      <c r="V3512" s="3"/>
      <c r="W3512" s="3"/>
      <c r="X3512" s="3"/>
      <c r="Y3512" s="3"/>
      <c r="Z3512" s="3"/>
      <c r="AA3512" s="3"/>
      <c r="AB3512" s="3"/>
    </row>
    <row r="3513" spans="1:28" x14ac:dyDescent="0.3">
      <c r="A3513" s="2"/>
      <c r="F3513" s="3"/>
      <c r="G3513" s="3"/>
      <c r="N3513" s="3"/>
      <c r="Q3513" s="3"/>
      <c r="R3513" s="3"/>
      <c r="S3513" s="3"/>
      <c r="V3513" s="3"/>
      <c r="W3513" s="3"/>
      <c r="X3513" s="3"/>
      <c r="Y3513" s="3"/>
      <c r="Z3513" s="3"/>
      <c r="AA3513" s="3"/>
      <c r="AB3513" s="3"/>
    </row>
    <row r="3514" spans="1:28" x14ac:dyDescent="0.3">
      <c r="A3514" s="2"/>
      <c r="F3514" s="3"/>
      <c r="G3514" s="3"/>
      <c r="N3514" s="3"/>
      <c r="Q3514" s="3"/>
      <c r="R3514" s="3"/>
      <c r="S3514" s="3"/>
      <c r="V3514" s="3"/>
      <c r="W3514" s="3"/>
      <c r="X3514" s="3"/>
      <c r="Y3514" s="3"/>
      <c r="Z3514" s="3"/>
      <c r="AA3514" s="3"/>
      <c r="AB3514" s="3"/>
    </row>
    <row r="3515" spans="1:28" x14ac:dyDescent="0.3">
      <c r="A3515" s="2"/>
      <c r="F3515" s="3"/>
      <c r="G3515" s="3"/>
      <c r="N3515" s="3"/>
      <c r="Q3515" s="3"/>
      <c r="R3515" s="3"/>
      <c r="S3515" s="3"/>
      <c r="V3515" s="3"/>
      <c r="W3515" s="3"/>
      <c r="X3515" s="3"/>
      <c r="Y3515" s="3"/>
      <c r="Z3515" s="3"/>
      <c r="AA3515" s="3"/>
      <c r="AB3515" s="3"/>
    </row>
    <row r="3516" spans="1:28" x14ac:dyDescent="0.3">
      <c r="A3516" s="2"/>
      <c r="F3516" s="3"/>
      <c r="G3516" s="3"/>
      <c r="N3516" s="3"/>
      <c r="Q3516" s="3"/>
      <c r="R3516" s="3"/>
      <c r="S3516" s="3"/>
      <c r="V3516" s="3"/>
      <c r="W3516" s="3"/>
      <c r="X3516" s="3"/>
      <c r="Y3516" s="3"/>
      <c r="Z3516" s="3"/>
      <c r="AA3516" s="3"/>
      <c r="AB3516" s="3"/>
    </row>
    <row r="3517" spans="1:28" x14ac:dyDescent="0.3">
      <c r="A3517" s="2"/>
      <c r="F3517" s="3"/>
      <c r="G3517" s="3"/>
      <c r="N3517" s="3"/>
      <c r="Q3517" s="3"/>
      <c r="R3517" s="3"/>
      <c r="S3517" s="3"/>
      <c r="V3517" s="3"/>
      <c r="W3517" s="3"/>
      <c r="X3517" s="3"/>
      <c r="Y3517" s="3"/>
      <c r="Z3517" s="3"/>
      <c r="AA3517" s="3"/>
      <c r="AB3517" s="3"/>
    </row>
    <row r="3518" spans="1:28" x14ac:dyDescent="0.3">
      <c r="A3518" s="2"/>
      <c r="F3518" s="3"/>
      <c r="G3518" s="3"/>
      <c r="N3518" s="3"/>
      <c r="Q3518" s="3"/>
      <c r="R3518" s="3"/>
      <c r="S3518" s="3"/>
      <c r="V3518" s="3"/>
      <c r="W3518" s="3"/>
      <c r="X3518" s="3"/>
      <c r="Y3518" s="3"/>
      <c r="Z3518" s="3"/>
      <c r="AA3518" s="3"/>
      <c r="AB3518" s="3"/>
    </row>
    <row r="3519" spans="1:28" x14ac:dyDescent="0.3">
      <c r="A3519" s="2"/>
      <c r="F3519" s="3"/>
      <c r="G3519" s="3"/>
      <c r="N3519" s="3"/>
      <c r="Q3519" s="3"/>
      <c r="R3519" s="3"/>
      <c r="S3519" s="3"/>
      <c r="V3519" s="3"/>
      <c r="W3519" s="3"/>
      <c r="X3519" s="3"/>
      <c r="Y3519" s="3"/>
      <c r="Z3519" s="3"/>
      <c r="AA3519" s="3"/>
      <c r="AB3519" s="3"/>
    </row>
    <row r="3520" spans="1:28" x14ac:dyDescent="0.3">
      <c r="A3520" s="2"/>
      <c r="F3520" s="3"/>
      <c r="G3520" s="3"/>
      <c r="N3520" s="3"/>
      <c r="Q3520" s="3"/>
      <c r="R3520" s="3"/>
      <c r="S3520" s="3"/>
      <c r="V3520" s="3"/>
      <c r="W3520" s="3"/>
      <c r="X3520" s="3"/>
      <c r="Y3520" s="3"/>
      <c r="Z3520" s="3"/>
      <c r="AA3520" s="3"/>
      <c r="AB3520" s="3"/>
    </row>
    <row r="3521" spans="1:28" x14ac:dyDescent="0.3">
      <c r="A3521" s="2"/>
      <c r="F3521" s="3"/>
      <c r="G3521" s="3"/>
      <c r="N3521" s="3"/>
      <c r="Q3521" s="3"/>
      <c r="R3521" s="3"/>
      <c r="S3521" s="3"/>
      <c r="V3521" s="3"/>
      <c r="W3521" s="3"/>
      <c r="X3521" s="3"/>
      <c r="Y3521" s="3"/>
      <c r="Z3521" s="3"/>
      <c r="AA3521" s="3"/>
      <c r="AB3521" s="3"/>
    </row>
    <row r="3522" spans="1:28" x14ac:dyDescent="0.3">
      <c r="A3522" s="2"/>
      <c r="F3522" s="3"/>
      <c r="G3522" s="3"/>
      <c r="N3522" s="3"/>
      <c r="Q3522" s="3"/>
      <c r="R3522" s="3"/>
      <c r="S3522" s="3"/>
      <c r="V3522" s="3"/>
      <c r="W3522" s="3"/>
      <c r="X3522" s="3"/>
      <c r="Y3522" s="3"/>
      <c r="Z3522" s="3"/>
      <c r="AA3522" s="3"/>
      <c r="AB3522" s="3"/>
    </row>
    <row r="3523" spans="1:28" x14ac:dyDescent="0.3">
      <c r="A3523" s="2"/>
      <c r="F3523" s="3"/>
      <c r="G3523" s="3"/>
      <c r="N3523" s="3"/>
      <c r="Q3523" s="3"/>
      <c r="R3523" s="3"/>
      <c r="S3523" s="3"/>
      <c r="V3523" s="3"/>
      <c r="W3523" s="3"/>
      <c r="X3523" s="3"/>
      <c r="Y3523" s="3"/>
      <c r="Z3523" s="3"/>
      <c r="AA3523" s="3"/>
      <c r="AB3523" s="3"/>
    </row>
    <row r="3524" spans="1:28" x14ac:dyDescent="0.3">
      <c r="A3524" s="2"/>
      <c r="F3524" s="3"/>
      <c r="G3524" s="3"/>
      <c r="N3524" s="3"/>
      <c r="Q3524" s="3"/>
      <c r="R3524" s="3"/>
      <c r="S3524" s="3"/>
      <c r="V3524" s="3"/>
      <c r="W3524" s="3"/>
      <c r="X3524" s="3"/>
      <c r="Y3524" s="3"/>
      <c r="Z3524" s="3"/>
      <c r="AA3524" s="3"/>
      <c r="AB3524" s="3"/>
    </row>
    <row r="3525" spans="1:28" x14ac:dyDescent="0.3">
      <c r="A3525" s="2"/>
      <c r="F3525" s="3"/>
      <c r="G3525" s="3"/>
      <c r="N3525" s="3"/>
      <c r="Q3525" s="3"/>
      <c r="R3525" s="3"/>
      <c r="S3525" s="3"/>
      <c r="V3525" s="3"/>
      <c r="W3525" s="3"/>
      <c r="X3525" s="3"/>
      <c r="Y3525" s="3"/>
      <c r="Z3525" s="3"/>
      <c r="AA3525" s="3"/>
      <c r="AB3525" s="3"/>
    </row>
    <row r="3526" spans="1:28" x14ac:dyDescent="0.3">
      <c r="A3526" s="2"/>
      <c r="F3526" s="3"/>
      <c r="G3526" s="3"/>
      <c r="N3526" s="3"/>
      <c r="Q3526" s="3"/>
      <c r="R3526" s="3"/>
      <c r="S3526" s="3"/>
      <c r="V3526" s="3"/>
      <c r="W3526" s="3"/>
      <c r="X3526" s="3"/>
      <c r="Y3526" s="3"/>
      <c r="Z3526" s="3"/>
      <c r="AA3526" s="3"/>
      <c r="AB3526" s="3"/>
    </row>
    <row r="3527" spans="1:28" x14ac:dyDescent="0.3">
      <c r="A3527" s="2"/>
      <c r="F3527" s="3"/>
      <c r="G3527" s="3"/>
      <c r="N3527" s="3"/>
      <c r="Q3527" s="3"/>
      <c r="R3527" s="3"/>
      <c r="S3527" s="3"/>
      <c r="V3527" s="3"/>
      <c r="W3527" s="3"/>
      <c r="X3527" s="3"/>
      <c r="Y3527" s="3"/>
      <c r="Z3527" s="3"/>
      <c r="AA3527" s="3"/>
      <c r="AB3527" s="3"/>
    </row>
    <row r="3528" spans="1:28" x14ac:dyDescent="0.3">
      <c r="A3528" s="2"/>
      <c r="F3528" s="3"/>
      <c r="G3528" s="3"/>
      <c r="N3528" s="3"/>
      <c r="Q3528" s="3"/>
      <c r="R3528" s="3"/>
      <c r="S3528" s="3"/>
      <c r="V3528" s="3"/>
      <c r="W3528" s="3"/>
      <c r="X3528" s="3"/>
      <c r="Y3528" s="3"/>
      <c r="Z3528" s="3"/>
      <c r="AA3528" s="3"/>
      <c r="AB3528" s="3"/>
    </row>
    <row r="3529" spans="1:28" x14ac:dyDescent="0.3">
      <c r="A3529" s="2"/>
      <c r="F3529" s="3"/>
      <c r="G3529" s="3"/>
      <c r="N3529" s="3"/>
      <c r="Q3529" s="3"/>
      <c r="R3529" s="3"/>
      <c r="S3529" s="3"/>
      <c r="V3529" s="3"/>
      <c r="W3529" s="3"/>
      <c r="X3529" s="3"/>
      <c r="Y3529" s="3"/>
      <c r="Z3529" s="3"/>
      <c r="AA3529" s="3"/>
      <c r="AB3529" s="3"/>
    </row>
    <row r="3530" spans="1:28" x14ac:dyDescent="0.3">
      <c r="A3530" s="2"/>
      <c r="F3530" s="3"/>
      <c r="G3530" s="3"/>
      <c r="N3530" s="3"/>
      <c r="Q3530" s="3"/>
      <c r="R3530" s="3"/>
      <c r="S3530" s="3"/>
      <c r="V3530" s="3"/>
      <c r="W3530" s="3"/>
      <c r="X3530" s="3"/>
      <c r="Y3530" s="3"/>
      <c r="Z3530" s="3"/>
      <c r="AA3530" s="3"/>
      <c r="AB3530" s="3"/>
    </row>
    <row r="3531" spans="1:28" x14ac:dyDescent="0.3">
      <c r="A3531" s="2"/>
      <c r="F3531" s="3"/>
      <c r="G3531" s="3"/>
      <c r="N3531" s="3"/>
      <c r="Q3531" s="3"/>
      <c r="R3531" s="3"/>
      <c r="S3531" s="3"/>
      <c r="V3531" s="3"/>
      <c r="W3531" s="3"/>
      <c r="X3531" s="3"/>
      <c r="Y3531" s="3"/>
      <c r="Z3531" s="3"/>
      <c r="AA3531" s="3"/>
      <c r="AB3531" s="3"/>
    </row>
    <row r="3532" spans="1:28" x14ac:dyDescent="0.3">
      <c r="A3532" s="2"/>
      <c r="F3532" s="3"/>
      <c r="G3532" s="3"/>
      <c r="N3532" s="3"/>
      <c r="Q3532" s="3"/>
      <c r="R3532" s="3"/>
      <c r="S3532" s="3"/>
      <c r="V3532" s="3"/>
      <c r="W3532" s="3"/>
      <c r="X3532" s="3"/>
      <c r="Y3532" s="3"/>
      <c r="Z3532" s="3"/>
      <c r="AA3532" s="3"/>
      <c r="AB3532" s="3"/>
    </row>
    <row r="3533" spans="1:28" x14ac:dyDescent="0.3">
      <c r="A3533" s="2"/>
      <c r="F3533" s="3"/>
      <c r="G3533" s="3"/>
      <c r="N3533" s="3"/>
      <c r="Q3533" s="3"/>
      <c r="R3533" s="3"/>
      <c r="S3533" s="3"/>
      <c r="V3533" s="3"/>
      <c r="W3533" s="3"/>
      <c r="X3533" s="3"/>
      <c r="Y3533" s="3"/>
      <c r="Z3533" s="3"/>
      <c r="AA3533" s="3"/>
      <c r="AB3533" s="3"/>
    </row>
    <row r="3534" spans="1:28" x14ac:dyDescent="0.3">
      <c r="A3534" s="2"/>
      <c r="F3534" s="3"/>
      <c r="G3534" s="3"/>
      <c r="N3534" s="3"/>
      <c r="Q3534" s="3"/>
      <c r="R3534" s="3"/>
      <c r="S3534" s="3"/>
      <c r="V3534" s="3"/>
      <c r="W3534" s="3"/>
      <c r="X3534" s="3"/>
      <c r="Y3534" s="3"/>
      <c r="Z3534" s="3"/>
      <c r="AA3534" s="3"/>
      <c r="AB3534" s="3"/>
    </row>
    <row r="3535" spans="1:28" x14ac:dyDescent="0.3">
      <c r="A3535" s="2"/>
      <c r="F3535" s="3"/>
      <c r="G3535" s="3"/>
      <c r="N3535" s="3"/>
      <c r="Q3535" s="3"/>
      <c r="R3535" s="3"/>
      <c r="S3535" s="3"/>
      <c r="V3535" s="3"/>
      <c r="W3535" s="3"/>
      <c r="X3535" s="3"/>
      <c r="Y3535" s="3"/>
      <c r="Z3535" s="3"/>
      <c r="AA3535" s="3"/>
      <c r="AB3535" s="3"/>
    </row>
    <row r="3536" spans="1:28" x14ac:dyDescent="0.3">
      <c r="A3536" s="2"/>
      <c r="F3536" s="3"/>
      <c r="G3536" s="3"/>
      <c r="N3536" s="3"/>
      <c r="Q3536" s="3"/>
      <c r="R3536" s="3"/>
      <c r="S3536" s="3"/>
      <c r="V3536" s="3"/>
      <c r="W3536" s="3"/>
      <c r="X3536" s="3"/>
      <c r="Y3536" s="3"/>
      <c r="Z3536" s="3"/>
      <c r="AA3536" s="3"/>
      <c r="AB3536" s="3"/>
    </row>
    <row r="3537" spans="1:28" x14ac:dyDescent="0.3">
      <c r="A3537" s="2"/>
      <c r="F3537" s="3"/>
      <c r="G3537" s="3"/>
      <c r="N3537" s="3"/>
      <c r="Q3537" s="3"/>
      <c r="R3537" s="3"/>
      <c r="S3537" s="3"/>
      <c r="V3537" s="3"/>
      <c r="W3537" s="3"/>
      <c r="X3537" s="3"/>
      <c r="Y3537" s="3"/>
      <c r="Z3537" s="3"/>
      <c r="AA3537" s="3"/>
      <c r="AB3537" s="3"/>
    </row>
    <row r="3538" spans="1:28" x14ac:dyDescent="0.3">
      <c r="A3538" s="2"/>
      <c r="F3538" s="3"/>
      <c r="G3538" s="3"/>
      <c r="N3538" s="3"/>
      <c r="Q3538" s="3"/>
      <c r="R3538" s="3"/>
      <c r="S3538" s="3"/>
      <c r="V3538" s="3"/>
      <c r="W3538" s="3"/>
      <c r="X3538" s="3"/>
      <c r="Y3538" s="3"/>
      <c r="Z3538" s="3"/>
      <c r="AA3538" s="3"/>
      <c r="AB3538" s="3"/>
    </row>
    <row r="3539" spans="1:28" x14ac:dyDescent="0.3">
      <c r="A3539" s="2"/>
      <c r="F3539" s="3"/>
      <c r="G3539" s="3"/>
      <c r="N3539" s="3"/>
      <c r="Q3539" s="3"/>
      <c r="R3539" s="3"/>
      <c r="S3539" s="3"/>
      <c r="V3539" s="3"/>
      <c r="W3539" s="3"/>
      <c r="X3539" s="3"/>
      <c r="Y3539" s="3"/>
      <c r="Z3539" s="3"/>
      <c r="AA3539" s="3"/>
      <c r="AB3539" s="3"/>
    </row>
    <row r="3540" spans="1:28" x14ac:dyDescent="0.3">
      <c r="A3540" s="2"/>
      <c r="F3540" s="3"/>
      <c r="G3540" s="3"/>
      <c r="N3540" s="3"/>
      <c r="Q3540" s="3"/>
      <c r="R3540" s="3"/>
      <c r="S3540" s="3"/>
      <c r="V3540" s="3"/>
      <c r="W3540" s="3"/>
      <c r="X3540" s="3"/>
      <c r="Y3540" s="3"/>
      <c r="Z3540" s="3"/>
      <c r="AA3540" s="3"/>
      <c r="AB3540" s="3"/>
    </row>
    <row r="3541" spans="1:28" x14ac:dyDescent="0.3">
      <c r="A3541" s="2"/>
      <c r="F3541" s="3"/>
      <c r="G3541" s="3"/>
      <c r="N3541" s="3"/>
      <c r="Q3541" s="3"/>
      <c r="R3541" s="3"/>
      <c r="S3541" s="3"/>
      <c r="V3541" s="3"/>
      <c r="W3541" s="3"/>
      <c r="X3541" s="3"/>
      <c r="Y3541" s="3"/>
      <c r="Z3541" s="3"/>
      <c r="AA3541" s="3"/>
      <c r="AB3541" s="3"/>
    </row>
    <row r="3542" spans="1:28" x14ac:dyDescent="0.3">
      <c r="A3542" s="2"/>
      <c r="F3542" s="3"/>
      <c r="G3542" s="3"/>
      <c r="N3542" s="3"/>
      <c r="Q3542" s="3"/>
      <c r="R3542" s="3"/>
      <c r="S3542" s="3"/>
      <c r="V3542" s="3"/>
      <c r="W3542" s="3"/>
      <c r="X3542" s="3"/>
      <c r="Y3542" s="3"/>
      <c r="Z3542" s="3"/>
      <c r="AA3542" s="3"/>
      <c r="AB3542" s="3"/>
    </row>
    <row r="3543" spans="1:28" x14ac:dyDescent="0.3">
      <c r="A3543" s="2"/>
      <c r="F3543" s="3"/>
      <c r="G3543" s="3"/>
      <c r="N3543" s="3"/>
      <c r="Q3543" s="3"/>
      <c r="R3543" s="3"/>
      <c r="S3543" s="3"/>
      <c r="V3543" s="3"/>
      <c r="W3543" s="3"/>
      <c r="X3543" s="3"/>
      <c r="Y3543" s="3"/>
      <c r="Z3543" s="3"/>
      <c r="AA3543" s="3"/>
      <c r="AB3543" s="3"/>
    </row>
    <row r="3544" spans="1:28" x14ac:dyDescent="0.3">
      <c r="A3544" s="2"/>
      <c r="F3544" s="3"/>
      <c r="G3544" s="3"/>
      <c r="N3544" s="3"/>
      <c r="Q3544" s="3"/>
      <c r="R3544" s="3"/>
      <c r="S3544" s="3"/>
      <c r="V3544" s="3"/>
      <c r="W3544" s="3"/>
      <c r="X3544" s="3"/>
      <c r="Y3544" s="3"/>
      <c r="Z3544" s="3"/>
      <c r="AA3544" s="3"/>
      <c r="AB3544" s="3"/>
    </row>
    <row r="3545" spans="1:28" x14ac:dyDescent="0.3">
      <c r="A3545" s="2"/>
      <c r="F3545" s="3"/>
      <c r="G3545" s="3"/>
      <c r="N3545" s="3"/>
      <c r="Q3545" s="3"/>
      <c r="R3545" s="3"/>
      <c r="S3545" s="3"/>
      <c r="V3545" s="3"/>
      <c r="W3545" s="3"/>
      <c r="X3545" s="3"/>
      <c r="Y3545" s="3"/>
      <c r="Z3545" s="3"/>
      <c r="AA3545" s="3"/>
      <c r="AB3545" s="3"/>
    </row>
    <row r="3546" spans="1:28" x14ac:dyDescent="0.3">
      <c r="A3546" s="2"/>
      <c r="F3546" s="3"/>
      <c r="G3546" s="3"/>
      <c r="N3546" s="3"/>
      <c r="Q3546" s="3"/>
      <c r="R3546" s="3"/>
      <c r="S3546" s="3"/>
      <c r="V3546" s="3"/>
      <c r="W3546" s="3"/>
      <c r="X3546" s="3"/>
      <c r="Y3546" s="3"/>
      <c r="Z3546" s="3"/>
      <c r="AA3546" s="3"/>
      <c r="AB3546" s="3"/>
    </row>
    <row r="3547" spans="1:28" x14ac:dyDescent="0.3">
      <c r="A3547" s="2"/>
      <c r="F3547" s="3"/>
      <c r="G3547" s="3"/>
      <c r="N3547" s="3"/>
      <c r="Q3547" s="3"/>
      <c r="R3547" s="3"/>
      <c r="S3547" s="3"/>
      <c r="V3547" s="3"/>
      <c r="W3547" s="3"/>
      <c r="X3547" s="3"/>
      <c r="Y3547" s="3"/>
      <c r="Z3547" s="3"/>
      <c r="AA3547" s="3"/>
      <c r="AB3547" s="3"/>
    </row>
    <row r="3548" spans="1:28" x14ac:dyDescent="0.3">
      <c r="A3548" s="2"/>
      <c r="F3548" s="3"/>
      <c r="G3548" s="3"/>
      <c r="N3548" s="3"/>
      <c r="Q3548" s="3"/>
      <c r="R3548" s="3"/>
      <c r="S3548" s="3"/>
      <c r="V3548" s="3"/>
      <c r="W3548" s="3"/>
      <c r="X3548" s="3"/>
      <c r="Y3548" s="3"/>
      <c r="Z3548" s="3"/>
      <c r="AA3548" s="3"/>
      <c r="AB3548" s="3"/>
    </row>
    <row r="3549" spans="1:28" x14ac:dyDescent="0.3">
      <c r="A3549" s="2"/>
      <c r="F3549" s="3"/>
      <c r="G3549" s="3"/>
      <c r="N3549" s="3"/>
      <c r="Q3549" s="3"/>
      <c r="R3549" s="3"/>
      <c r="S3549" s="3"/>
      <c r="V3549" s="3"/>
      <c r="W3549" s="3"/>
      <c r="X3549" s="3"/>
      <c r="Y3549" s="3"/>
      <c r="Z3549" s="3"/>
      <c r="AA3549" s="3"/>
      <c r="AB3549" s="3"/>
    </row>
    <row r="3550" spans="1:28" x14ac:dyDescent="0.3">
      <c r="A3550" s="2"/>
      <c r="F3550" s="3"/>
      <c r="G3550" s="3"/>
      <c r="N3550" s="3"/>
      <c r="Q3550" s="3"/>
      <c r="R3550" s="3"/>
      <c r="S3550" s="3"/>
      <c r="V3550" s="3"/>
      <c r="W3550" s="3"/>
      <c r="X3550" s="3"/>
      <c r="Y3550" s="3"/>
      <c r="Z3550" s="3"/>
      <c r="AA3550" s="3"/>
      <c r="AB3550" s="3"/>
    </row>
    <row r="3551" spans="1:28" x14ac:dyDescent="0.3">
      <c r="A3551" s="2"/>
      <c r="F3551" s="3"/>
      <c r="G3551" s="3"/>
      <c r="N3551" s="3"/>
      <c r="Q3551" s="3"/>
      <c r="R3551" s="3"/>
      <c r="S3551" s="3"/>
      <c r="V3551" s="3"/>
      <c r="W3551" s="3"/>
      <c r="X3551" s="3"/>
      <c r="Y3551" s="3"/>
      <c r="Z3551" s="3"/>
      <c r="AA3551" s="3"/>
      <c r="AB3551" s="3"/>
    </row>
    <row r="3552" spans="1:28" x14ac:dyDescent="0.3">
      <c r="A3552" s="2"/>
      <c r="F3552" s="3"/>
      <c r="G3552" s="3"/>
      <c r="N3552" s="3"/>
      <c r="Q3552" s="3"/>
      <c r="R3552" s="3"/>
      <c r="S3552" s="3"/>
      <c r="V3552" s="3"/>
      <c r="W3552" s="3"/>
      <c r="X3552" s="3"/>
      <c r="Y3552" s="3"/>
      <c r="Z3552" s="3"/>
      <c r="AA3552" s="3"/>
      <c r="AB3552" s="3"/>
    </row>
    <row r="3553" spans="1:28" x14ac:dyDescent="0.3">
      <c r="A3553" s="2"/>
      <c r="F3553" s="3"/>
      <c r="G3553" s="3"/>
      <c r="N3553" s="3"/>
      <c r="Q3553" s="3"/>
      <c r="R3553" s="3"/>
      <c r="S3553" s="3"/>
      <c r="V3553" s="3"/>
      <c r="W3553" s="3"/>
      <c r="X3553" s="3"/>
      <c r="Y3553" s="3"/>
      <c r="Z3553" s="3"/>
      <c r="AA3553" s="3"/>
      <c r="AB3553" s="3"/>
    </row>
    <row r="3554" spans="1:28" x14ac:dyDescent="0.3">
      <c r="A3554" s="2"/>
      <c r="F3554" s="3"/>
      <c r="G3554" s="3"/>
      <c r="N3554" s="3"/>
      <c r="Q3554" s="3"/>
      <c r="R3554" s="3"/>
      <c r="S3554" s="3"/>
      <c r="V3554" s="3"/>
      <c r="W3554" s="3"/>
      <c r="X3554" s="3"/>
      <c r="Y3554" s="3"/>
      <c r="Z3554" s="3"/>
      <c r="AA3554" s="3"/>
      <c r="AB3554" s="3"/>
    </row>
    <row r="3555" spans="1:28" x14ac:dyDescent="0.3">
      <c r="A3555" s="2"/>
      <c r="F3555" s="3"/>
      <c r="G3555" s="3"/>
      <c r="N3555" s="3"/>
      <c r="Q3555" s="3"/>
      <c r="R3555" s="3"/>
      <c r="S3555" s="3"/>
      <c r="V3555" s="3"/>
      <c r="W3555" s="3"/>
      <c r="X3555" s="3"/>
      <c r="Y3555" s="3"/>
      <c r="Z3555" s="3"/>
      <c r="AA3555" s="3"/>
      <c r="AB3555" s="3"/>
    </row>
    <row r="3556" spans="1:28" x14ac:dyDescent="0.3">
      <c r="A3556" s="2"/>
      <c r="F3556" s="3"/>
      <c r="G3556" s="3"/>
      <c r="N3556" s="3"/>
      <c r="Q3556" s="3"/>
      <c r="R3556" s="3"/>
      <c r="S3556" s="3"/>
      <c r="V3556" s="3"/>
      <c r="W3556" s="3"/>
      <c r="X3556" s="3"/>
      <c r="Y3556" s="3"/>
      <c r="Z3556" s="3"/>
      <c r="AA3556" s="3"/>
      <c r="AB3556" s="3"/>
    </row>
    <row r="3557" spans="1:28" x14ac:dyDescent="0.3">
      <c r="A3557" s="2"/>
      <c r="F3557" s="3"/>
      <c r="G3557" s="3"/>
      <c r="N3557" s="3"/>
      <c r="Q3557" s="3"/>
      <c r="R3557" s="3"/>
      <c r="S3557" s="3"/>
      <c r="V3557" s="3"/>
      <c r="W3557" s="3"/>
      <c r="X3557" s="3"/>
      <c r="Y3557" s="3"/>
      <c r="Z3557" s="3"/>
      <c r="AA3557" s="3"/>
      <c r="AB3557" s="3"/>
    </row>
    <row r="3558" spans="1:28" x14ac:dyDescent="0.3">
      <c r="A3558" s="2"/>
      <c r="F3558" s="3"/>
      <c r="G3558" s="3"/>
      <c r="N3558" s="3"/>
      <c r="Q3558" s="3"/>
      <c r="R3558" s="3"/>
      <c r="S3558" s="3"/>
      <c r="V3558" s="3"/>
      <c r="W3558" s="3"/>
      <c r="X3558" s="3"/>
      <c r="Y3558" s="3"/>
      <c r="Z3558" s="3"/>
      <c r="AA3558" s="3"/>
      <c r="AB3558" s="3"/>
    </row>
    <row r="3559" spans="1:28" x14ac:dyDescent="0.3">
      <c r="A3559" s="2"/>
      <c r="F3559" s="3"/>
      <c r="G3559" s="3"/>
      <c r="N3559" s="3"/>
      <c r="Q3559" s="3"/>
      <c r="R3559" s="3"/>
      <c r="S3559" s="3"/>
      <c r="V3559" s="3"/>
      <c r="W3559" s="3"/>
      <c r="X3559" s="3"/>
      <c r="Y3559" s="3"/>
      <c r="Z3559" s="3"/>
      <c r="AA3559" s="3"/>
      <c r="AB3559" s="3"/>
    </row>
    <row r="3560" spans="1:28" x14ac:dyDescent="0.3">
      <c r="A3560" s="2"/>
      <c r="F3560" s="3"/>
      <c r="G3560" s="3"/>
      <c r="N3560" s="3"/>
      <c r="Q3560" s="3"/>
      <c r="R3560" s="3"/>
      <c r="S3560" s="3"/>
      <c r="V3560" s="3"/>
      <c r="W3560" s="3"/>
      <c r="X3560" s="3"/>
      <c r="Y3560" s="3"/>
      <c r="Z3560" s="3"/>
      <c r="AA3560" s="3"/>
      <c r="AB3560" s="3"/>
    </row>
    <row r="3561" spans="1:28" x14ac:dyDescent="0.3">
      <c r="A3561" s="2"/>
      <c r="F3561" s="3"/>
      <c r="G3561" s="3"/>
      <c r="N3561" s="3"/>
      <c r="Q3561" s="3"/>
      <c r="R3561" s="3"/>
      <c r="S3561" s="3"/>
      <c r="V3561" s="3"/>
      <c r="W3561" s="3"/>
      <c r="X3561" s="3"/>
      <c r="Y3561" s="3"/>
      <c r="Z3561" s="3"/>
      <c r="AA3561" s="3"/>
      <c r="AB3561" s="3"/>
    </row>
    <row r="3562" spans="1:28" x14ac:dyDescent="0.3">
      <c r="A3562" s="2"/>
      <c r="F3562" s="3"/>
      <c r="G3562" s="3"/>
      <c r="N3562" s="3"/>
      <c r="Q3562" s="3"/>
      <c r="R3562" s="3"/>
      <c r="S3562" s="3"/>
      <c r="V3562" s="3"/>
      <c r="W3562" s="3"/>
      <c r="X3562" s="3"/>
      <c r="Y3562" s="3"/>
      <c r="Z3562" s="3"/>
      <c r="AA3562" s="3"/>
      <c r="AB3562" s="3"/>
    </row>
    <row r="3563" spans="1:28" x14ac:dyDescent="0.3">
      <c r="A3563" s="2"/>
      <c r="F3563" s="3"/>
      <c r="G3563" s="3"/>
      <c r="N3563" s="3"/>
      <c r="Q3563" s="3"/>
      <c r="R3563" s="3"/>
      <c r="S3563" s="3"/>
      <c r="V3563" s="3"/>
      <c r="W3563" s="3"/>
      <c r="X3563" s="3"/>
      <c r="Y3563" s="3"/>
      <c r="Z3563" s="3"/>
      <c r="AA3563" s="3"/>
      <c r="AB3563" s="3"/>
    </row>
    <row r="3564" spans="1:28" x14ac:dyDescent="0.3">
      <c r="A3564" s="2"/>
      <c r="F3564" s="3"/>
      <c r="G3564" s="3"/>
      <c r="N3564" s="3"/>
      <c r="Q3564" s="3"/>
      <c r="R3564" s="3"/>
      <c r="S3564" s="3"/>
      <c r="V3564" s="3"/>
      <c r="W3564" s="3"/>
      <c r="X3564" s="3"/>
      <c r="Y3564" s="3"/>
      <c r="Z3564" s="3"/>
      <c r="AA3564" s="3"/>
      <c r="AB3564" s="3"/>
    </row>
    <row r="3565" spans="1:28" x14ac:dyDescent="0.3">
      <c r="A3565" s="2"/>
      <c r="F3565" s="3"/>
      <c r="G3565" s="3"/>
      <c r="N3565" s="3"/>
      <c r="Q3565" s="3"/>
      <c r="R3565" s="3"/>
      <c r="S3565" s="3"/>
      <c r="V3565" s="3"/>
      <c r="W3565" s="3"/>
      <c r="X3565" s="3"/>
      <c r="Y3565" s="3"/>
      <c r="Z3565" s="3"/>
      <c r="AA3565" s="3"/>
      <c r="AB3565" s="3"/>
    </row>
    <row r="3566" spans="1:28" x14ac:dyDescent="0.3">
      <c r="A3566" s="2"/>
      <c r="F3566" s="3"/>
      <c r="G3566" s="3"/>
      <c r="N3566" s="3"/>
      <c r="Q3566" s="3"/>
      <c r="R3566" s="3"/>
      <c r="S3566" s="3"/>
      <c r="V3566" s="3"/>
      <c r="W3566" s="3"/>
      <c r="X3566" s="3"/>
      <c r="Y3566" s="3"/>
      <c r="Z3566" s="3"/>
      <c r="AA3566" s="3"/>
      <c r="AB3566" s="3"/>
    </row>
    <row r="3567" spans="1:28" x14ac:dyDescent="0.3">
      <c r="A3567" s="2"/>
      <c r="F3567" s="3"/>
      <c r="G3567" s="3"/>
      <c r="N3567" s="3"/>
      <c r="Q3567" s="3"/>
      <c r="R3567" s="3"/>
      <c r="S3567" s="3"/>
      <c r="V3567" s="3"/>
      <c r="W3567" s="3"/>
      <c r="X3567" s="3"/>
      <c r="Y3567" s="3"/>
      <c r="Z3567" s="3"/>
      <c r="AA3567" s="3"/>
      <c r="AB3567" s="3"/>
    </row>
    <row r="3568" spans="1:28" x14ac:dyDescent="0.3">
      <c r="A3568" s="2"/>
      <c r="F3568" s="3"/>
      <c r="G3568" s="3"/>
      <c r="N3568" s="3"/>
      <c r="Q3568" s="3"/>
      <c r="R3568" s="3"/>
      <c r="S3568" s="3"/>
      <c r="V3568" s="3"/>
      <c r="W3568" s="3"/>
      <c r="X3568" s="3"/>
      <c r="Y3568" s="3"/>
      <c r="Z3568" s="3"/>
      <c r="AA3568" s="3"/>
      <c r="AB3568" s="3"/>
    </row>
    <row r="3569" spans="1:28" x14ac:dyDescent="0.3">
      <c r="A3569" s="2"/>
      <c r="F3569" s="3"/>
      <c r="G3569" s="3"/>
      <c r="N3569" s="3"/>
      <c r="Q3569" s="3"/>
      <c r="R3569" s="3"/>
      <c r="S3569" s="3"/>
      <c r="V3569" s="3"/>
      <c r="W3569" s="3"/>
      <c r="X3569" s="3"/>
      <c r="Y3569" s="3"/>
      <c r="Z3569" s="3"/>
      <c r="AA3569" s="3"/>
      <c r="AB3569" s="3"/>
    </row>
    <row r="3570" spans="1:28" x14ac:dyDescent="0.3">
      <c r="A3570" s="2"/>
      <c r="F3570" s="3"/>
      <c r="G3570" s="3"/>
      <c r="N3570" s="3"/>
      <c r="Q3570" s="3"/>
      <c r="R3570" s="3"/>
      <c r="S3570" s="3"/>
      <c r="V3570" s="3"/>
      <c r="W3570" s="3"/>
      <c r="X3570" s="3"/>
      <c r="Y3570" s="3"/>
      <c r="Z3570" s="3"/>
      <c r="AA3570" s="3"/>
      <c r="AB3570" s="3"/>
    </row>
    <row r="3571" spans="1:28" x14ac:dyDescent="0.3">
      <c r="A3571" s="2"/>
      <c r="F3571" s="3"/>
      <c r="G3571" s="3"/>
      <c r="N3571" s="3"/>
      <c r="Q3571" s="3"/>
      <c r="R3571" s="3"/>
      <c r="S3571" s="3"/>
      <c r="V3571" s="3"/>
      <c r="W3571" s="3"/>
      <c r="X3571" s="3"/>
      <c r="Y3571" s="3"/>
      <c r="Z3571" s="3"/>
      <c r="AA3571" s="3"/>
      <c r="AB3571" s="3"/>
    </row>
    <row r="3572" spans="1:28" x14ac:dyDescent="0.3">
      <c r="A3572" s="2"/>
      <c r="F3572" s="3"/>
      <c r="G3572" s="3"/>
      <c r="N3572" s="3"/>
      <c r="Q3572" s="3"/>
      <c r="R3572" s="3"/>
      <c r="S3572" s="3"/>
      <c r="V3572" s="3"/>
      <c r="W3572" s="3"/>
      <c r="X3572" s="3"/>
      <c r="Y3572" s="3"/>
      <c r="Z3572" s="3"/>
      <c r="AA3572" s="3"/>
      <c r="AB3572" s="3"/>
    </row>
    <row r="3573" spans="1:28" x14ac:dyDescent="0.3">
      <c r="A3573" s="2"/>
      <c r="F3573" s="3"/>
      <c r="G3573" s="3"/>
      <c r="N3573" s="3"/>
      <c r="Q3573" s="3"/>
      <c r="R3573" s="3"/>
      <c r="S3573" s="3"/>
      <c r="V3573" s="3"/>
      <c r="W3573" s="3"/>
      <c r="X3573" s="3"/>
      <c r="Y3573" s="3"/>
      <c r="Z3573" s="3"/>
      <c r="AA3573" s="3"/>
      <c r="AB3573" s="3"/>
    </row>
    <row r="3574" spans="1:28" x14ac:dyDescent="0.3">
      <c r="A3574" s="2"/>
      <c r="F3574" s="3"/>
      <c r="G3574" s="3"/>
      <c r="N3574" s="3"/>
      <c r="Q3574" s="3"/>
      <c r="R3574" s="3"/>
      <c r="S3574" s="3"/>
      <c r="V3574" s="3"/>
      <c r="W3574" s="3"/>
      <c r="X3574" s="3"/>
      <c r="Y3574" s="3"/>
      <c r="Z3574" s="3"/>
      <c r="AA3574" s="3"/>
      <c r="AB3574" s="3"/>
    </row>
    <row r="3575" spans="1:28" x14ac:dyDescent="0.3">
      <c r="A3575" s="2"/>
      <c r="F3575" s="3"/>
      <c r="G3575" s="3"/>
      <c r="N3575" s="3"/>
      <c r="Q3575" s="3"/>
      <c r="R3575" s="3"/>
      <c r="S3575" s="3"/>
      <c r="V3575" s="3"/>
      <c r="W3575" s="3"/>
      <c r="X3575" s="3"/>
      <c r="Y3575" s="3"/>
      <c r="Z3575" s="3"/>
      <c r="AA3575" s="3"/>
      <c r="AB3575" s="3"/>
    </row>
    <row r="3576" spans="1:28" x14ac:dyDescent="0.3">
      <c r="A3576" s="2"/>
      <c r="F3576" s="3"/>
      <c r="G3576" s="3"/>
      <c r="N3576" s="3"/>
      <c r="Q3576" s="3"/>
      <c r="R3576" s="3"/>
      <c r="S3576" s="3"/>
      <c r="V3576" s="3"/>
      <c r="W3576" s="3"/>
      <c r="X3576" s="3"/>
      <c r="Y3576" s="3"/>
      <c r="Z3576" s="3"/>
      <c r="AA3576" s="3"/>
      <c r="AB3576" s="3"/>
    </row>
    <row r="3577" spans="1:28" x14ac:dyDescent="0.3">
      <c r="A3577" s="2"/>
      <c r="F3577" s="3"/>
      <c r="G3577" s="3"/>
      <c r="N3577" s="3"/>
      <c r="Q3577" s="3"/>
      <c r="R3577" s="3"/>
      <c r="S3577" s="3"/>
      <c r="V3577" s="3"/>
      <c r="W3577" s="3"/>
      <c r="X3577" s="3"/>
      <c r="Y3577" s="3"/>
      <c r="Z3577" s="3"/>
      <c r="AA3577" s="3"/>
      <c r="AB3577" s="3"/>
    </row>
    <row r="3578" spans="1:28" x14ac:dyDescent="0.3">
      <c r="A3578" s="2"/>
      <c r="F3578" s="3"/>
      <c r="G3578" s="3"/>
      <c r="N3578" s="3"/>
      <c r="Q3578" s="3"/>
      <c r="R3578" s="3"/>
      <c r="S3578" s="3"/>
      <c r="V3578" s="3"/>
      <c r="W3578" s="3"/>
      <c r="X3578" s="3"/>
      <c r="Y3578" s="3"/>
      <c r="Z3578" s="3"/>
      <c r="AA3578" s="3"/>
      <c r="AB3578" s="3"/>
    </row>
    <row r="3579" spans="1:28" x14ac:dyDescent="0.3">
      <c r="A3579" s="2"/>
      <c r="F3579" s="3"/>
      <c r="G3579" s="3"/>
      <c r="N3579" s="3"/>
      <c r="Q3579" s="3"/>
      <c r="R3579" s="3"/>
      <c r="S3579" s="3"/>
      <c r="V3579" s="3"/>
      <c r="W3579" s="3"/>
      <c r="X3579" s="3"/>
      <c r="Y3579" s="3"/>
      <c r="Z3579" s="3"/>
      <c r="AA3579" s="3"/>
      <c r="AB3579" s="3"/>
    </row>
    <row r="3580" spans="1:28" x14ac:dyDescent="0.3">
      <c r="A3580" s="2"/>
      <c r="F3580" s="3"/>
      <c r="G3580" s="3"/>
      <c r="N3580" s="3"/>
      <c r="Q3580" s="3"/>
      <c r="R3580" s="3"/>
      <c r="S3580" s="3"/>
      <c r="V3580" s="3"/>
      <c r="W3580" s="3"/>
      <c r="X3580" s="3"/>
      <c r="Y3580" s="3"/>
      <c r="Z3580" s="3"/>
      <c r="AA3580" s="3"/>
      <c r="AB3580" s="3"/>
    </row>
    <row r="3581" spans="1:28" x14ac:dyDescent="0.3">
      <c r="A3581" s="2"/>
      <c r="F3581" s="3"/>
      <c r="G3581" s="3"/>
      <c r="N3581" s="3"/>
      <c r="Q3581" s="3"/>
      <c r="R3581" s="3"/>
      <c r="S3581" s="3"/>
      <c r="V3581" s="3"/>
      <c r="W3581" s="3"/>
      <c r="X3581" s="3"/>
      <c r="Y3581" s="3"/>
      <c r="Z3581" s="3"/>
      <c r="AA3581" s="3"/>
      <c r="AB3581" s="3"/>
    </row>
    <row r="3582" spans="1:28" x14ac:dyDescent="0.3">
      <c r="A3582" s="2"/>
      <c r="F3582" s="3"/>
      <c r="G3582" s="3"/>
      <c r="N3582" s="3"/>
      <c r="Q3582" s="3"/>
      <c r="R3582" s="3"/>
      <c r="S3582" s="3"/>
      <c r="V3582" s="3"/>
      <c r="W3582" s="3"/>
      <c r="X3582" s="3"/>
      <c r="Y3582" s="3"/>
      <c r="Z3582" s="3"/>
      <c r="AA3582" s="3"/>
      <c r="AB3582" s="3"/>
    </row>
    <row r="3583" spans="1:28" x14ac:dyDescent="0.3">
      <c r="A3583" s="2"/>
      <c r="F3583" s="3"/>
      <c r="G3583" s="3"/>
      <c r="N3583" s="3"/>
      <c r="Q3583" s="3"/>
      <c r="R3583" s="3"/>
      <c r="S3583" s="3"/>
      <c r="V3583" s="3"/>
      <c r="W3583" s="3"/>
      <c r="X3583" s="3"/>
      <c r="Y3583" s="3"/>
      <c r="Z3583" s="3"/>
      <c r="AA3583" s="3"/>
      <c r="AB3583" s="3"/>
    </row>
    <row r="3584" spans="1:28" x14ac:dyDescent="0.3">
      <c r="A3584" s="2"/>
      <c r="F3584" s="3"/>
      <c r="G3584" s="3"/>
      <c r="N3584" s="3"/>
      <c r="Q3584" s="3"/>
      <c r="R3584" s="3"/>
      <c r="S3584" s="3"/>
      <c r="V3584" s="3"/>
      <c r="W3584" s="3"/>
      <c r="X3584" s="3"/>
      <c r="Y3584" s="3"/>
      <c r="Z3584" s="3"/>
      <c r="AA3584" s="3"/>
      <c r="AB3584" s="3"/>
    </row>
    <row r="3585" spans="1:28" x14ac:dyDescent="0.3">
      <c r="A3585" s="2"/>
      <c r="F3585" s="3"/>
      <c r="G3585" s="3"/>
      <c r="N3585" s="3"/>
      <c r="Q3585" s="3"/>
      <c r="R3585" s="3"/>
      <c r="S3585" s="3"/>
      <c r="V3585" s="3"/>
      <c r="W3585" s="3"/>
      <c r="X3585" s="3"/>
      <c r="Y3585" s="3"/>
      <c r="Z3585" s="3"/>
      <c r="AA3585" s="3"/>
      <c r="AB3585" s="3"/>
    </row>
    <row r="3586" spans="1:28" x14ac:dyDescent="0.3">
      <c r="A3586" s="2"/>
      <c r="F3586" s="3"/>
      <c r="G3586" s="3"/>
      <c r="N3586" s="3"/>
      <c r="Q3586" s="3"/>
      <c r="R3586" s="3"/>
      <c r="S3586" s="3"/>
      <c r="V3586" s="3"/>
      <c r="W3586" s="3"/>
      <c r="X3586" s="3"/>
      <c r="Y3586" s="3"/>
      <c r="Z3586" s="3"/>
      <c r="AA3586" s="3"/>
      <c r="AB3586" s="3"/>
    </row>
    <row r="3587" spans="1:28" x14ac:dyDescent="0.3">
      <c r="A3587" s="2"/>
      <c r="F3587" s="3"/>
      <c r="G3587" s="3"/>
      <c r="N3587" s="3"/>
      <c r="Q3587" s="3"/>
      <c r="R3587" s="3"/>
      <c r="S3587" s="3"/>
      <c r="V3587" s="3"/>
      <c r="W3587" s="3"/>
      <c r="X3587" s="3"/>
      <c r="Y3587" s="3"/>
      <c r="Z3587" s="3"/>
      <c r="AA3587" s="3"/>
      <c r="AB3587" s="3"/>
    </row>
    <row r="3588" spans="1:28" x14ac:dyDescent="0.3">
      <c r="A3588" s="2"/>
      <c r="F3588" s="3"/>
      <c r="G3588" s="3"/>
      <c r="N3588" s="3"/>
      <c r="Q3588" s="3"/>
      <c r="R3588" s="3"/>
      <c r="S3588" s="3"/>
      <c r="V3588" s="3"/>
      <c r="W3588" s="3"/>
      <c r="X3588" s="3"/>
      <c r="Y3588" s="3"/>
      <c r="Z3588" s="3"/>
      <c r="AA3588" s="3"/>
      <c r="AB3588" s="3"/>
    </row>
    <row r="3589" spans="1:28" x14ac:dyDescent="0.3">
      <c r="A3589" s="2"/>
      <c r="F3589" s="3"/>
      <c r="G3589" s="3"/>
      <c r="N3589" s="3"/>
      <c r="Q3589" s="3"/>
      <c r="R3589" s="3"/>
      <c r="S3589" s="3"/>
      <c r="V3589" s="3"/>
      <c r="W3589" s="3"/>
      <c r="X3589" s="3"/>
      <c r="Y3589" s="3"/>
      <c r="Z3589" s="3"/>
      <c r="AA3589" s="3"/>
      <c r="AB3589" s="3"/>
    </row>
    <row r="3590" spans="1:28" x14ac:dyDescent="0.3">
      <c r="A3590" s="2"/>
      <c r="F3590" s="3"/>
      <c r="G3590" s="3"/>
      <c r="N3590" s="3"/>
      <c r="Q3590" s="3"/>
      <c r="R3590" s="3"/>
      <c r="S3590" s="3"/>
      <c r="V3590" s="3"/>
      <c r="W3590" s="3"/>
      <c r="X3590" s="3"/>
      <c r="Y3590" s="3"/>
      <c r="Z3590" s="3"/>
      <c r="AA3590" s="3"/>
      <c r="AB3590" s="3"/>
    </row>
    <row r="3591" spans="1:28" x14ac:dyDescent="0.3">
      <c r="A3591" s="2"/>
      <c r="F3591" s="3"/>
      <c r="G3591" s="3"/>
      <c r="N3591" s="3"/>
      <c r="Q3591" s="3"/>
      <c r="R3591" s="3"/>
      <c r="S3591" s="3"/>
      <c r="V3591" s="3"/>
      <c r="W3591" s="3"/>
      <c r="X3591" s="3"/>
      <c r="Y3591" s="3"/>
      <c r="Z3591" s="3"/>
      <c r="AA3591" s="3"/>
      <c r="AB3591" s="3"/>
    </row>
    <row r="3592" spans="1:28" x14ac:dyDescent="0.3">
      <c r="A3592" s="2"/>
      <c r="F3592" s="3"/>
      <c r="G3592" s="3"/>
      <c r="N3592" s="3"/>
      <c r="Q3592" s="3"/>
      <c r="R3592" s="3"/>
      <c r="S3592" s="3"/>
      <c r="V3592" s="3"/>
      <c r="W3592" s="3"/>
      <c r="X3592" s="3"/>
      <c r="Y3592" s="3"/>
      <c r="Z3592" s="3"/>
      <c r="AA3592" s="3"/>
      <c r="AB3592" s="3"/>
    </row>
    <row r="3593" spans="1:28" x14ac:dyDescent="0.3">
      <c r="A3593" s="2"/>
      <c r="F3593" s="3"/>
      <c r="G3593" s="3"/>
      <c r="N3593" s="3"/>
      <c r="Q3593" s="3"/>
      <c r="R3593" s="3"/>
      <c r="S3593" s="3"/>
      <c r="V3593" s="3"/>
      <c r="W3593" s="3"/>
      <c r="X3593" s="3"/>
      <c r="Y3593" s="3"/>
      <c r="Z3593" s="3"/>
      <c r="AA3593" s="3"/>
      <c r="AB3593" s="3"/>
    </row>
    <row r="3594" spans="1:28" x14ac:dyDescent="0.3">
      <c r="A3594" s="2"/>
      <c r="F3594" s="3"/>
      <c r="G3594" s="3"/>
      <c r="N3594" s="3"/>
      <c r="Q3594" s="3"/>
      <c r="R3594" s="3"/>
      <c r="S3594" s="3"/>
      <c r="V3594" s="3"/>
      <c r="W3594" s="3"/>
      <c r="X3594" s="3"/>
      <c r="Y3594" s="3"/>
      <c r="Z3594" s="3"/>
      <c r="AA3594" s="3"/>
      <c r="AB3594" s="3"/>
    </row>
    <row r="3595" spans="1:28" x14ac:dyDescent="0.3">
      <c r="A3595" s="2"/>
      <c r="F3595" s="3"/>
      <c r="G3595" s="3"/>
      <c r="N3595" s="3"/>
      <c r="Q3595" s="3"/>
      <c r="R3595" s="3"/>
      <c r="S3595" s="3"/>
      <c r="V3595" s="3"/>
      <c r="W3595" s="3"/>
      <c r="X3595" s="3"/>
      <c r="Y3595" s="3"/>
      <c r="Z3595" s="3"/>
      <c r="AA3595" s="3"/>
      <c r="AB3595" s="3"/>
    </row>
    <row r="3596" spans="1:28" x14ac:dyDescent="0.3">
      <c r="A3596" s="2"/>
      <c r="F3596" s="3"/>
      <c r="G3596" s="3"/>
      <c r="N3596" s="3"/>
      <c r="Q3596" s="3"/>
      <c r="R3596" s="3"/>
      <c r="S3596" s="3"/>
      <c r="V3596" s="3"/>
      <c r="W3596" s="3"/>
      <c r="X3596" s="3"/>
      <c r="Y3596" s="3"/>
      <c r="Z3596" s="3"/>
      <c r="AA3596" s="3"/>
      <c r="AB3596" s="3"/>
    </row>
    <row r="3597" spans="1:28" x14ac:dyDescent="0.3">
      <c r="A3597" s="2"/>
      <c r="F3597" s="3"/>
      <c r="G3597" s="3"/>
      <c r="N3597" s="3"/>
      <c r="Q3597" s="3"/>
      <c r="R3597" s="3"/>
      <c r="S3597" s="3"/>
      <c r="V3597" s="3"/>
      <c r="W3597" s="3"/>
      <c r="X3597" s="3"/>
      <c r="Y3597" s="3"/>
      <c r="Z3597" s="3"/>
      <c r="AA3597" s="3"/>
      <c r="AB3597" s="3"/>
    </row>
    <row r="3598" spans="1:28" x14ac:dyDescent="0.3">
      <c r="A3598" s="2"/>
      <c r="F3598" s="3"/>
      <c r="G3598" s="3"/>
      <c r="N3598" s="3"/>
      <c r="Q3598" s="3"/>
      <c r="R3598" s="3"/>
      <c r="S3598" s="3"/>
      <c r="V3598" s="3"/>
      <c r="W3598" s="3"/>
      <c r="X3598" s="3"/>
      <c r="Y3598" s="3"/>
      <c r="Z3598" s="3"/>
      <c r="AA3598" s="3"/>
      <c r="AB3598" s="3"/>
    </row>
    <row r="3599" spans="1:28" x14ac:dyDescent="0.3">
      <c r="A3599" s="2"/>
      <c r="F3599" s="3"/>
      <c r="G3599" s="3"/>
      <c r="N3599" s="3"/>
      <c r="Q3599" s="3"/>
      <c r="R3599" s="3"/>
      <c r="S3599" s="3"/>
      <c r="V3599" s="3"/>
      <c r="W3599" s="3"/>
      <c r="X3599" s="3"/>
      <c r="Y3599" s="3"/>
      <c r="Z3599" s="3"/>
      <c r="AA3599" s="3"/>
      <c r="AB3599" s="3"/>
    </row>
    <row r="3600" spans="1:28" x14ac:dyDescent="0.3">
      <c r="A3600" s="2"/>
      <c r="F3600" s="3"/>
      <c r="G3600" s="3"/>
      <c r="N3600" s="3"/>
      <c r="Q3600" s="3"/>
      <c r="R3600" s="3"/>
      <c r="S3600" s="3"/>
      <c r="V3600" s="3"/>
      <c r="W3600" s="3"/>
      <c r="X3600" s="3"/>
      <c r="Y3600" s="3"/>
      <c r="Z3600" s="3"/>
      <c r="AA3600" s="3"/>
      <c r="AB3600" s="3"/>
    </row>
    <row r="3601" spans="1:28" x14ac:dyDescent="0.3">
      <c r="A3601" s="2"/>
      <c r="F3601" s="3"/>
      <c r="G3601" s="3"/>
      <c r="N3601" s="3"/>
      <c r="Q3601" s="3"/>
      <c r="R3601" s="3"/>
      <c r="S3601" s="3"/>
      <c r="V3601" s="3"/>
      <c r="W3601" s="3"/>
      <c r="X3601" s="3"/>
      <c r="Y3601" s="3"/>
      <c r="Z3601" s="3"/>
      <c r="AA3601" s="3"/>
      <c r="AB3601" s="3"/>
    </row>
    <row r="3602" spans="1:28" x14ac:dyDescent="0.3">
      <c r="A3602" s="2"/>
      <c r="F3602" s="3"/>
      <c r="G3602" s="3"/>
      <c r="N3602" s="3"/>
      <c r="Q3602" s="3"/>
      <c r="R3602" s="3"/>
      <c r="S3602" s="3"/>
      <c r="V3602" s="3"/>
      <c r="W3602" s="3"/>
      <c r="X3602" s="3"/>
      <c r="Y3602" s="3"/>
      <c r="Z3602" s="3"/>
      <c r="AA3602" s="3"/>
      <c r="AB3602" s="3"/>
    </row>
    <row r="3603" spans="1:28" x14ac:dyDescent="0.3">
      <c r="A3603" s="2"/>
      <c r="F3603" s="3"/>
      <c r="G3603" s="3"/>
      <c r="N3603" s="3"/>
      <c r="Q3603" s="3"/>
      <c r="R3603" s="3"/>
      <c r="S3603" s="3"/>
      <c r="V3603" s="3"/>
      <c r="W3603" s="3"/>
      <c r="X3603" s="3"/>
      <c r="Y3603" s="3"/>
      <c r="Z3603" s="3"/>
      <c r="AA3603" s="3"/>
      <c r="AB3603" s="3"/>
    </row>
    <row r="3604" spans="1:28" x14ac:dyDescent="0.3">
      <c r="A3604" s="2"/>
      <c r="F3604" s="3"/>
      <c r="G3604" s="3"/>
      <c r="N3604" s="3"/>
      <c r="Q3604" s="3"/>
      <c r="R3604" s="3"/>
      <c r="S3604" s="3"/>
      <c r="V3604" s="3"/>
      <c r="W3604" s="3"/>
      <c r="X3604" s="3"/>
      <c r="Y3604" s="3"/>
      <c r="Z3604" s="3"/>
      <c r="AA3604" s="3"/>
      <c r="AB3604" s="3"/>
    </row>
    <row r="3605" spans="1:28" x14ac:dyDescent="0.3">
      <c r="A3605" s="2"/>
      <c r="F3605" s="3"/>
      <c r="G3605" s="3"/>
      <c r="N3605" s="3"/>
      <c r="Q3605" s="3"/>
      <c r="R3605" s="3"/>
      <c r="S3605" s="3"/>
      <c r="V3605" s="3"/>
      <c r="W3605" s="3"/>
      <c r="X3605" s="3"/>
      <c r="Y3605" s="3"/>
      <c r="Z3605" s="3"/>
      <c r="AA3605" s="3"/>
      <c r="AB3605" s="3"/>
    </row>
    <row r="3606" spans="1:28" x14ac:dyDescent="0.3">
      <c r="A3606" s="2"/>
      <c r="F3606" s="3"/>
      <c r="G3606" s="3"/>
      <c r="N3606" s="3"/>
      <c r="Q3606" s="3"/>
      <c r="R3606" s="3"/>
      <c r="S3606" s="3"/>
      <c r="V3606" s="3"/>
      <c r="W3606" s="3"/>
      <c r="X3606" s="3"/>
      <c r="Y3606" s="3"/>
      <c r="Z3606" s="3"/>
      <c r="AA3606" s="3"/>
      <c r="AB3606" s="3"/>
    </row>
    <row r="3607" spans="1:28" x14ac:dyDescent="0.3">
      <c r="A3607" s="2"/>
      <c r="F3607" s="3"/>
      <c r="G3607" s="3"/>
      <c r="N3607" s="3"/>
      <c r="Q3607" s="3"/>
      <c r="R3607" s="3"/>
      <c r="S3607" s="3"/>
      <c r="V3607" s="3"/>
      <c r="W3607" s="3"/>
      <c r="X3607" s="3"/>
      <c r="Y3607" s="3"/>
      <c r="Z3607" s="3"/>
      <c r="AA3607" s="3"/>
      <c r="AB3607" s="3"/>
    </row>
    <row r="3608" spans="1:28" x14ac:dyDescent="0.3">
      <c r="A3608" s="2"/>
      <c r="F3608" s="3"/>
      <c r="G3608" s="3"/>
      <c r="N3608" s="3"/>
      <c r="Q3608" s="3"/>
      <c r="R3608" s="3"/>
      <c r="S3608" s="3"/>
      <c r="V3608" s="3"/>
      <c r="W3608" s="3"/>
      <c r="X3608" s="3"/>
      <c r="Y3608" s="3"/>
      <c r="Z3608" s="3"/>
      <c r="AA3608" s="3"/>
      <c r="AB3608" s="3"/>
    </row>
    <row r="3609" spans="1:28" x14ac:dyDescent="0.3">
      <c r="A3609" s="2"/>
      <c r="F3609" s="3"/>
      <c r="G3609" s="3"/>
      <c r="N3609" s="3"/>
      <c r="Q3609" s="3"/>
      <c r="R3609" s="3"/>
      <c r="S3609" s="3"/>
      <c r="V3609" s="3"/>
      <c r="W3609" s="3"/>
      <c r="X3609" s="3"/>
      <c r="Y3609" s="3"/>
      <c r="Z3609" s="3"/>
      <c r="AA3609" s="3"/>
      <c r="AB3609" s="3"/>
    </row>
    <row r="3610" spans="1:28" x14ac:dyDescent="0.3">
      <c r="A3610" s="2"/>
      <c r="F3610" s="3"/>
      <c r="G3610" s="3"/>
      <c r="N3610" s="3"/>
      <c r="Q3610" s="3"/>
      <c r="R3610" s="3"/>
      <c r="S3610" s="3"/>
      <c r="V3610" s="3"/>
      <c r="W3610" s="3"/>
      <c r="X3610" s="3"/>
      <c r="Y3610" s="3"/>
      <c r="Z3610" s="3"/>
      <c r="AA3610" s="3"/>
      <c r="AB3610" s="3"/>
    </row>
    <row r="3611" spans="1:28" x14ac:dyDescent="0.3">
      <c r="A3611" s="2"/>
      <c r="F3611" s="3"/>
      <c r="G3611" s="3"/>
      <c r="N3611" s="3"/>
      <c r="Q3611" s="3"/>
      <c r="R3611" s="3"/>
      <c r="S3611" s="3"/>
      <c r="V3611" s="3"/>
      <c r="W3611" s="3"/>
      <c r="X3611" s="3"/>
      <c r="Y3611" s="3"/>
      <c r="Z3611" s="3"/>
      <c r="AA3611" s="3"/>
      <c r="AB3611" s="3"/>
    </row>
    <row r="3612" spans="1:28" x14ac:dyDescent="0.3">
      <c r="A3612" s="2"/>
      <c r="F3612" s="3"/>
      <c r="G3612" s="3"/>
      <c r="N3612" s="3"/>
      <c r="Q3612" s="3"/>
      <c r="R3612" s="3"/>
      <c r="S3612" s="3"/>
      <c r="V3612" s="3"/>
      <c r="W3612" s="3"/>
      <c r="X3612" s="3"/>
      <c r="Y3612" s="3"/>
      <c r="Z3612" s="3"/>
      <c r="AA3612" s="3"/>
      <c r="AB3612" s="3"/>
    </row>
    <row r="3613" spans="1:28" x14ac:dyDescent="0.3">
      <c r="A3613" s="2"/>
      <c r="F3613" s="3"/>
      <c r="G3613" s="3"/>
      <c r="N3613" s="3"/>
      <c r="Q3613" s="3"/>
      <c r="R3613" s="3"/>
      <c r="S3613" s="3"/>
      <c r="V3613" s="3"/>
      <c r="W3613" s="3"/>
      <c r="X3613" s="3"/>
      <c r="Y3613" s="3"/>
      <c r="Z3613" s="3"/>
      <c r="AA3613" s="3"/>
      <c r="AB3613" s="3"/>
    </row>
    <row r="3614" spans="1:28" x14ac:dyDescent="0.3">
      <c r="A3614" s="2"/>
      <c r="F3614" s="3"/>
      <c r="G3614" s="3"/>
      <c r="N3614" s="3"/>
      <c r="Q3614" s="3"/>
      <c r="R3614" s="3"/>
      <c r="S3614" s="3"/>
      <c r="V3614" s="3"/>
      <c r="W3614" s="3"/>
      <c r="X3614" s="3"/>
      <c r="Y3614" s="3"/>
      <c r="Z3614" s="3"/>
      <c r="AA3614" s="3"/>
      <c r="AB3614" s="3"/>
    </row>
    <row r="3615" spans="1:28" x14ac:dyDescent="0.3">
      <c r="A3615" s="2"/>
      <c r="F3615" s="3"/>
      <c r="G3615" s="3"/>
      <c r="N3615" s="3"/>
      <c r="Q3615" s="3"/>
      <c r="R3615" s="3"/>
      <c r="S3615" s="3"/>
      <c r="V3615" s="3"/>
      <c r="W3615" s="3"/>
      <c r="X3615" s="3"/>
      <c r="Y3615" s="3"/>
      <c r="Z3615" s="3"/>
      <c r="AA3615" s="3"/>
      <c r="AB3615" s="3"/>
    </row>
    <row r="3616" spans="1:28" x14ac:dyDescent="0.3">
      <c r="A3616" s="2"/>
      <c r="F3616" s="3"/>
      <c r="G3616" s="3"/>
      <c r="N3616" s="3"/>
      <c r="Q3616" s="3"/>
      <c r="R3616" s="3"/>
      <c r="S3616" s="3"/>
      <c r="V3616" s="3"/>
      <c r="W3616" s="3"/>
      <c r="X3616" s="3"/>
      <c r="Y3616" s="3"/>
      <c r="Z3616" s="3"/>
      <c r="AA3616" s="3"/>
      <c r="AB3616" s="3"/>
    </row>
    <row r="3617" spans="1:28" x14ac:dyDescent="0.3">
      <c r="A3617" s="2"/>
      <c r="F3617" s="3"/>
      <c r="G3617" s="3"/>
      <c r="N3617" s="3"/>
      <c r="Q3617" s="3"/>
      <c r="R3617" s="3"/>
      <c r="S3617" s="3"/>
      <c r="V3617" s="3"/>
      <c r="W3617" s="3"/>
      <c r="X3617" s="3"/>
      <c r="Y3617" s="3"/>
      <c r="Z3617" s="3"/>
      <c r="AA3617" s="3"/>
      <c r="AB3617" s="3"/>
    </row>
    <row r="3618" spans="1:28" x14ac:dyDescent="0.3">
      <c r="A3618" s="2"/>
      <c r="F3618" s="3"/>
      <c r="G3618" s="3"/>
      <c r="N3618" s="3"/>
      <c r="Q3618" s="3"/>
      <c r="R3618" s="3"/>
      <c r="S3618" s="3"/>
      <c r="V3618" s="3"/>
      <c r="W3618" s="3"/>
      <c r="X3618" s="3"/>
      <c r="Y3618" s="3"/>
      <c r="Z3618" s="3"/>
      <c r="AA3618" s="3"/>
      <c r="AB3618" s="3"/>
    </row>
    <row r="3619" spans="1:28" x14ac:dyDescent="0.3">
      <c r="A3619" s="2"/>
      <c r="F3619" s="3"/>
      <c r="G3619" s="3"/>
      <c r="N3619" s="3"/>
      <c r="Q3619" s="3"/>
      <c r="R3619" s="3"/>
      <c r="S3619" s="3"/>
      <c r="V3619" s="3"/>
      <c r="W3619" s="3"/>
      <c r="X3619" s="3"/>
      <c r="Y3619" s="3"/>
      <c r="Z3619" s="3"/>
      <c r="AA3619" s="3"/>
      <c r="AB3619" s="3"/>
    </row>
    <row r="3620" spans="1:28" x14ac:dyDescent="0.3">
      <c r="A3620" s="2"/>
      <c r="F3620" s="3"/>
      <c r="G3620" s="3"/>
      <c r="N3620" s="3"/>
      <c r="Q3620" s="3"/>
      <c r="R3620" s="3"/>
      <c r="S3620" s="3"/>
      <c r="V3620" s="3"/>
      <c r="W3620" s="3"/>
      <c r="X3620" s="3"/>
      <c r="Y3620" s="3"/>
      <c r="Z3620" s="3"/>
      <c r="AA3620" s="3"/>
      <c r="AB3620" s="3"/>
    </row>
    <row r="3621" spans="1:28" x14ac:dyDescent="0.3">
      <c r="A3621" s="2"/>
      <c r="F3621" s="3"/>
      <c r="G3621" s="3"/>
      <c r="N3621" s="3"/>
      <c r="Q3621" s="3"/>
      <c r="R3621" s="3"/>
      <c r="S3621" s="3"/>
      <c r="V3621" s="3"/>
      <c r="W3621" s="3"/>
      <c r="X3621" s="3"/>
      <c r="Y3621" s="3"/>
      <c r="Z3621" s="3"/>
      <c r="AA3621" s="3"/>
      <c r="AB3621" s="3"/>
    </row>
    <row r="3622" spans="1:28" x14ac:dyDescent="0.3">
      <c r="A3622" s="2"/>
      <c r="F3622" s="3"/>
      <c r="G3622" s="3"/>
      <c r="N3622" s="3"/>
      <c r="Q3622" s="3"/>
      <c r="R3622" s="3"/>
      <c r="S3622" s="3"/>
      <c r="V3622" s="3"/>
      <c r="W3622" s="3"/>
      <c r="X3622" s="3"/>
      <c r="Y3622" s="3"/>
      <c r="Z3622" s="3"/>
      <c r="AA3622" s="3"/>
      <c r="AB3622" s="3"/>
    </row>
    <row r="3623" spans="1:28" x14ac:dyDescent="0.3">
      <c r="A3623" s="2"/>
      <c r="F3623" s="3"/>
      <c r="G3623" s="3"/>
      <c r="N3623" s="3"/>
      <c r="Q3623" s="3"/>
      <c r="R3623" s="3"/>
      <c r="S3623" s="3"/>
      <c r="V3623" s="3"/>
      <c r="W3623" s="3"/>
      <c r="X3623" s="3"/>
      <c r="Y3623" s="3"/>
      <c r="Z3623" s="3"/>
      <c r="AA3623" s="3"/>
      <c r="AB3623" s="3"/>
    </row>
    <row r="3624" spans="1:28" x14ac:dyDescent="0.3">
      <c r="A3624" s="2"/>
      <c r="F3624" s="3"/>
      <c r="G3624" s="3"/>
      <c r="N3624" s="3"/>
      <c r="Q3624" s="3"/>
      <c r="R3624" s="3"/>
      <c r="S3624" s="3"/>
      <c r="V3624" s="3"/>
      <c r="W3624" s="3"/>
      <c r="X3624" s="3"/>
      <c r="Y3624" s="3"/>
      <c r="Z3624" s="3"/>
      <c r="AA3624" s="3"/>
      <c r="AB3624" s="3"/>
    </row>
    <row r="3625" spans="1:28" x14ac:dyDescent="0.3">
      <c r="A3625" s="2"/>
      <c r="F3625" s="3"/>
      <c r="G3625" s="3"/>
      <c r="N3625" s="3"/>
      <c r="Q3625" s="3"/>
      <c r="R3625" s="3"/>
      <c r="S3625" s="3"/>
      <c r="V3625" s="3"/>
      <c r="W3625" s="3"/>
      <c r="X3625" s="3"/>
      <c r="Y3625" s="3"/>
      <c r="Z3625" s="3"/>
      <c r="AA3625" s="3"/>
      <c r="AB3625" s="3"/>
    </row>
    <row r="3626" spans="1:28" x14ac:dyDescent="0.3">
      <c r="A3626" s="2"/>
      <c r="F3626" s="3"/>
      <c r="G3626" s="3"/>
      <c r="N3626" s="3"/>
      <c r="Q3626" s="3"/>
      <c r="R3626" s="3"/>
      <c r="S3626" s="3"/>
      <c r="V3626" s="3"/>
      <c r="W3626" s="3"/>
      <c r="X3626" s="3"/>
      <c r="Y3626" s="3"/>
      <c r="Z3626" s="3"/>
      <c r="AA3626" s="3"/>
      <c r="AB3626" s="3"/>
    </row>
    <row r="3627" spans="1:28" x14ac:dyDescent="0.3">
      <c r="A3627" s="2"/>
      <c r="F3627" s="3"/>
      <c r="G3627" s="3"/>
      <c r="N3627" s="3"/>
      <c r="Q3627" s="3"/>
      <c r="R3627" s="3"/>
      <c r="S3627" s="3"/>
      <c r="V3627" s="3"/>
      <c r="W3627" s="3"/>
      <c r="X3627" s="3"/>
      <c r="Y3627" s="3"/>
      <c r="Z3627" s="3"/>
      <c r="AA3627" s="3"/>
      <c r="AB3627" s="3"/>
    </row>
    <row r="3628" spans="1:28" x14ac:dyDescent="0.3">
      <c r="A3628" s="2"/>
      <c r="F3628" s="3"/>
      <c r="G3628" s="3"/>
      <c r="N3628" s="3"/>
      <c r="Q3628" s="3"/>
      <c r="R3628" s="3"/>
      <c r="S3628" s="3"/>
      <c r="V3628" s="3"/>
      <c r="W3628" s="3"/>
      <c r="X3628" s="3"/>
      <c r="Y3628" s="3"/>
      <c r="Z3628" s="3"/>
      <c r="AA3628" s="3"/>
      <c r="AB3628" s="3"/>
    </row>
    <row r="3629" spans="1:28" x14ac:dyDescent="0.3">
      <c r="A3629" s="2"/>
      <c r="F3629" s="3"/>
      <c r="G3629" s="3"/>
      <c r="N3629" s="3"/>
      <c r="Q3629" s="3"/>
      <c r="R3629" s="3"/>
      <c r="S3629" s="3"/>
      <c r="V3629" s="3"/>
      <c r="W3629" s="3"/>
      <c r="X3629" s="3"/>
      <c r="Y3629" s="3"/>
      <c r="Z3629" s="3"/>
      <c r="AA3629" s="3"/>
      <c r="AB3629" s="3"/>
    </row>
    <row r="3630" spans="1:28" x14ac:dyDescent="0.3">
      <c r="A3630" s="2"/>
      <c r="F3630" s="3"/>
      <c r="G3630" s="3"/>
      <c r="N3630" s="3"/>
      <c r="Q3630" s="3"/>
      <c r="R3630" s="3"/>
      <c r="S3630" s="3"/>
      <c r="V3630" s="3"/>
      <c r="W3630" s="3"/>
      <c r="X3630" s="3"/>
      <c r="Y3630" s="3"/>
      <c r="Z3630" s="3"/>
      <c r="AA3630" s="3"/>
      <c r="AB3630" s="3"/>
    </row>
    <row r="3631" spans="1:28" x14ac:dyDescent="0.3">
      <c r="A3631" s="2"/>
      <c r="F3631" s="3"/>
      <c r="G3631" s="3"/>
      <c r="N3631" s="3"/>
      <c r="Q3631" s="3"/>
      <c r="R3631" s="3"/>
      <c r="S3631" s="3"/>
      <c r="V3631" s="3"/>
      <c r="W3631" s="3"/>
      <c r="X3631" s="3"/>
      <c r="Y3631" s="3"/>
      <c r="Z3631" s="3"/>
      <c r="AA3631" s="3"/>
      <c r="AB3631" s="3"/>
    </row>
    <row r="3632" spans="1:28" x14ac:dyDescent="0.3">
      <c r="A3632" s="2"/>
      <c r="F3632" s="3"/>
      <c r="G3632" s="3"/>
      <c r="N3632" s="3"/>
      <c r="Q3632" s="3"/>
      <c r="R3632" s="3"/>
      <c r="S3632" s="3"/>
      <c r="V3632" s="3"/>
      <c r="W3632" s="3"/>
      <c r="X3632" s="3"/>
      <c r="Y3632" s="3"/>
      <c r="Z3632" s="3"/>
      <c r="AA3632" s="3"/>
      <c r="AB3632" s="3"/>
    </row>
    <row r="3633" spans="1:28" x14ac:dyDescent="0.3">
      <c r="A3633" s="2"/>
      <c r="F3633" s="3"/>
      <c r="G3633" s="3"/>
      <c r="N3633" s="3"/>
      <c r="Q3633" s="3"/>
      <c r="R3633" s="3"/>
      <c r="S3633" s="3"/>
      <c r="V3633" s="3"/>
      <c r="W3633" s="3"/>
      <c r="X3633" s="3"/>
      <c r="Y3633" s="3"/>
      <c r="Z3633" s="3"/>
      <c r="AA3633" s="3"/>
      <c r="AB3633" s="3"/>
    </row>
    <row r="3634" spans="1:28" x14ac:dyDescent="0.3">
      <c r="A3634" s="2"/>
      <c r="F3634" s="3"/>
      <c r="G3634" s="3"/>
      <c r="N3634" s="3"/>
      <c r="Q3634" s="3"/>
      <c r="R3634" s="3"/>
      <c r="S3634" s="3"/>
      <c r="V3634" s="3"/>
      <c r="W3634" s="3"/>
      <c r="X3634" s="3"/>
      <c r="Y3634" s="3"/>
      <c r="Z3634" s="3"/>
      <c r="AA3634" s="3"/>
      <c r="AB3634" s="3"/>
    </row>
    <row r="3635" spans="1:28" x14ac:dyDescent="0.3">
      <c r="A3635" s="2"/>
      <c r="F3635" s="3"/>
      <c r="G3635" s="3"/>
      <c r="N3635" s="3"/>
      <c r="Q3635" s="3"/>
      <c r="R3635" s="3"/>
      <c r="S3635" s="3"/>
      <c r="V3635" s="3"/>
      <c r="W3635" s="3"/>
      <c r="X3635" s="3"/>
      <c r="Y3635" s="3"/>
      <c r="Z3635" s="3"/>
      <c r="AA3635" s="3"/>
      <c r="AB3635" s="3"/>
    </row>
    <row r="3636" spans="1:28" x14ac:dyDescent="0.3">
      <c r="A3636" s="2"/>
      <c r="F3636" s="3"/>
      <c r="G3636" s="3"/>
      <c r="N3636" s="3"/>
      <c r="Q3636" s="3"/>
      <c r="R3636" s="3"/>
      <c r="S3636" s="3"/>
      <c r="V3636" s="3"/>
      <c r="W3636" s="3"/>
      <c r="X3636" s="3"/>
      <c r="Y3636" s="3"/>
      <c r="Z3636" s="3"/>
      <c r="AA3636" s="3"/>
      <c r="AB3636" s="3"/>
    </row>
    <row r="3637" spans="1:28" x14ac:dyDescent="0.3">
      <c r="A3637" s="2"/>
      <c r="F3637" s="3"/>
      <c r="G3637" s="3"/>
      <c r="N3637" s="3"/>
      <c r="Q3637" s="3"/>
      <c r="R3637" s="3"/>
      <c r="S3637" s="3"/>
      <c r="V3637" s="3"/>
      <c r="W3637" s="3"/>
      <c r="X3637" s="3"/>
      <c r="Y3637" s="3"/>
      <c r="Z3637" s="3"/>
      <c r="AA3637" s="3"/>
      <c r="AB3637" s="3"/>
    </row>
    <row r="3638" spans="1:28" x14ac:dyDescent="0.3">
      <c r="A3638" s="2"/>
      <c r="F3638" s="3"/>
      <c r="G3638" s="3"/>
      <c r="N3638" s="3"/>
      <c r="Q3638" s="3"/>
      <c r="R3638" s="3"/>
      <c r="S3638" s="3"/>
      <c r="V3638" s="3"/>
      <c r="W3638" s="3"/>
      <c r="X3638" s="3"/>
      <c r="Y3638" s="3"/>
      <c r="Z3638" s="3"/>
      <c r="AA3638" s="3"/>
      <c r="AB3638" s="3"/>
    </row>
    <row r="3639" spans="1:28" x14ac:dyDescent="0.3">
      <c r="A3639" s="2"/>
      <c r="F3639" s="3"/>
      <c r="G3639" s="3"/>
      <c r="N3639" s="3"/>
      <c r="Q3639" s="3"/>
      <c r="R3639" s="3"/>
      <c r="S3639" s="3"/>
      <c r="V3639" s="3"/>
      <c r="W3639" s="3"/>
      <c r="X3639" s="3"/>
      <c r="Y3639" s="3"/>
      <c r="Z3639" s="3"/>
      <c r="AA3639" s="3"/>
      <c r="AB3639" s="3"/>
    </row>
    <row r="3640" spans="1:28" x14ac:dyDescent="0.3">
      <c r="A3640" s="2"/>
      <c r="F3640" s="3"/>
      <c r="G3640" s="3"/>
      <c r="N3640" s="3"/>
      <c r="Q3640" s="3"/>
      <c r="R3640" s="3"/>
      <c r="S3640" s="3"/>
      <c r="V3640" s="3"/>
      <c r="W3640" s="3"/>
      <c r="X3640" s="3"/>
      <c r="Y3640" s="3"/>
      <c r="Z3640" s="3"/>
      <c r="AA3640" s="3"/>
      <c r="AB3640" s="3"/>
    </row>
    <row r="3641" spans="1:28" x14ac:dyDescent="0.3">
      <c r="A3641" s="2"/>
      <c r="F3641" s="3"/>
      <c r="G3641" s="3"/>
      <c r="N3641" s="3"/>
      <c r="Q3641" s="3"/>
      <c r="R3641" s="3"/>
      <c r="S3641" s="3"/>
      <c r="V3641" s="3"/>
      <c r="W3641" s="3"/>
      <c r="X3641" s="3"/>
      <c r="Y3641" s="3"/>
      <c r="Z3641" s="3"/>
      <c r="AA3641" s="3"/>
      <c r="AB3641" s="3"/>
    </row>
    <row r="3642" spans="1:28" x14ac:dyDescent="0.3">
      <c r="A3642" s="2"/>
      <c r="F3642" s="3"/>
      <c r="G3642" s="3"/>
      <c r="N3642" s="3"/>
      <c r="Q3642" s="3"/>
      <c r="R3642" s="3"/>
      <c r="S3642" s="3"/>
      <c r="V3642" s="3"/>
      <c r="W3642" s="3"/>
      <c r="X3642" s="3"/>
      <c r="Y3642" s="3"/>
      <c r="Z3642" s="3"/>
      <c r="AA3642" s="3"/>
      <c r="AB3642" s="3"/>
    </row>
    <row r="3643" spans="1:28" x14ac:dyDescent="0.3">
      <c r="A3643" s="2"/>
      <c r="F3643" s="3"/>
      <c r="G3643" s="3"/>
      <c r="N3643" s="3"/>
      <c r="Q3643" s="3"/>
      <c r="R3643" s="3"/>
      <c r="S3643" s="3"/>
      <c r="V3643" s="3"/>
      <c r="W3643" s="3"/>
      <c r="X3643" s="3"/>
      <c r="Y3643" s="3"/>
      <c r="Z3643" s="3"/>
      <c r="AA3643" s="3"/>
      <c r="AB3643" s="3"/>
    </row>
    <row r="3644" spans="1:28" x14ac:dyDescent="0.3">
      <c r="A3644" s="2"/>
      <c r="F3644" s="3"/>
      <c r="G3644" s="3"/>
      <c r="N3644" s="3"/>
      <c r="Q3644" s="3"/>
      <c r="R3644" s="3"/>
      <c r="S3644" s="3"/>
      <c r="V3644" s="3"/>
      <c r="W3644" s="3"/>
      <c r="X3644" s="3"/>
      <c r="Y3644" s="3"/>
      <c r="Z3644" s="3"/>
      <c r="AA3644" s="3"/>
      <c r="AB3644" s="3"/>
    </row>
    <row r="3645" spans="1:28" x14ac:dyDescent="0.3">
      <c r="A3645" s="2"/>
      <c r="F3645" s="3"/>
      <c r="G3645" s="3"/>
      <c r="N3645" s="3"/>
      <c r="Q3645" s="3"/>
      <c r="R3645" s="3"/>
      <c r="S3645" s="3"/>
      <c r="V3645" s="3"/>
      <c r="W3645" s="3"/>
      <c r="X3645" s="3"/>
      <c r="Y3645" s="3"/>
      <c r="Z3645" s="3"/>
      <c r="AA3645" s="3"/>
      <c r="AB3645" s="3"/>
    </row>
    <row r="3646" spans="1:28" x14ac:dyDescent="0.3">
      <c r="A3646" s="2"/>
      <c r="F3646" s="3"/>
      <c r="G3646" s="3"/>
      <c r="N3646" s="3"/>
      <c r="Q3646" s="3"/>
      <c r="R3646" s="3"/>
      <c r="S3646" s="3"/>
      <c r="V3646" s="3"/>
      <c r="W3646" s="3"/>
      <c r="X3646" s="3"/>
      <c r="Y3646" s="3"/>
      <c r="Z3646" s="3"/>
      <c r="AA3646" s="3"/>
      <c r="AB3646" s="3"/>
    </row>
    <row r="3647" spans="1:28" x14ac:dyDescent="0.3">
      <c r="A3647" s="2"/>
      <c r="F3647" s="3"/>
      <c r="G3647" s="3"/>
      <c r="N3647" s="3"/>
      <c r="Q3647" s="3"/>
      <c r="R3647" s="3"/>
      <c r="S3647" s="3"/>
      <c r="V3647" s="3"/>
      <c r="W3647" s="3"/>
      <c r="X3647" s="3"/>
      <c r="Y3647" s="3"/>
      <c r="Z3647" s="3"/>
      <c r="AA3647" s="3"/>
      <c r="AB3647" s="3"/>
    </row>
    <row r="3648" spans="1:28" x14ac:dyDescent="0.3">
      <c r="A3648" s="2"/>
      <c r="F3648" s="3"/>
      <c r="G3648" s="3"/>
      <c r="N3648" s="3"/>
      <c r="Q3648" s="3"/>
      <c r="R3648" s="3"/>
      <c r="S3648" s="3"/>
      <c r="V3648" s="3"/>
      <c r="W3648" s="3"/>
      <c r="X3648" s="3"/>
      <c r="Y3648" s="3"/>
      <c r="Z3648" s="3"/>
      <c r="AA3648" s="3"/>
      <c r="AB3648" s="3"/>
    </row>
    <row r="3649" spans="1:28" x14ac:dyDescent="0.3">
      <c r="A3649" s="2"/>
      <c r="F3649" s="3"/>
      <c r="G3649" s="3"/>
      <c r="N3649" s="3"/>
      <c r="Q3649" s="3"/>
      <c r="R3649" s="3"/>
      <c r="S3649" s="3"/>
      <c r="V3649" s="3"/>
      <c r="W3649" s="3"/>
      <c r="X3649" s="3"/>
      <c r="Y3649" s="3"/>
      <c r="Z3649" s="3"/>
      <c r="AA3649" s="3"/>
      <c r="AB3649" s="3"/>
    </row>
    <row r="3650" spans="1:28" x14ac:dyDescent="0.3">
      <c r="A3650" s="2"/>
      <c r="F3650" s="3"/>
      <c r="G3650" s="3"/>
      <c r="N3650" s="3"/>
      <c r="Q3650" s="3"/>
      <c r="R3650" s="3"/>
      <c r="S3650" s="3"/>
      <c r="V3650" s="3"/>
      <c r="W3650" s="3"/>
      <c r="X3650" s="3"/>
      <c r="Y3650" s="3"/>
      <c r="Z3650" s="3"/>
      <c r="AA3650" s="3"/>
      <c r="AB3650" s="3"/>
    </row>
    <row r="3651" spans="1:28" x14ac:dyDescent="0.3">
      <c r="A3651" s="2"/>
      <c r="F3651" s="3"/>
      <c r="G3651" s="3"/>
      <c r="N3651" s="3"/>
      <c r="Q3651" s="3"/>
      <c r="R3651" s="3"/>
      <c r="S3651" s="3"/>
      <c r="V3651" s="3"/>
      <c r="W3651" s="3"/>
      <c r="X3651" s="3"/>
      <c r="Y3651" s="3"/>
      <c r="Z3651" s="3"/>
      <c r="AA3651" s="3"/>
      <c r="AB3651" s="3"/>
    </row>
    <row r="3652" spans="1:28" x14ac:dyDescent="0.3">
      <c r="A3652" s="2"/>
      <c r="F3652" s="3"/>
      <c r="G3652" s="3"/>
      <c r="N3652" s="3"/>
      <c r="Q3652" s="3"/>
      <c r="R3652" s="3"/>
      <c r="S3652" s="3"/>
      <c r="V3652" s="3"/>
      <c r="W3652" s="3"/>
      <c r="X3652" s="3"/>
      <c r="Y3652" s="3"/>
      <c r="Z3652" s="3"/>
      <c r="AA3652" s="3"/>
      <c r="AB3652" s="3"/>
    </row>
    <row r="3653" spans="1:28" x14ac:dyDescent="0.3">
      <c r="A3653" s="2"/>
      <c r="F3653" s="3"/>
      <c r="G3653" s="3"/>
      <c r="N3653" s="3"/>
      <c r="Q3653" s="3"/>
      <c r="R3653" s="3"/>
      <c r="S3653" s="3"/>
      <c r="V3653" s="3"/>
      <c r="W3653" s="3"/>
      <c r="X3653" s="3"/>
      <c r="Y3653" s="3"/>
      <c r="Z3653" s="3"/>
      <c r="AA3653" s="3"/>
      <c r="AB3653" s="3"/>
    </row>
    <row r="3654" spans="1:28" x14ac:dyDescent="0.3">
      <c r="A3654" s="2"/>
      <c r="F3654" s="3"/>
      <c r="G3654" s="3"/>
      <c r="N3654" s="3"/>
      <c r="Q3654" s="3"/>
      <c r="R3654" s="3"/>
      <c r="S3654" s="3"/>
      <c r="V3654" s="3"/>
      <c r="W3654" s="3"/>
      <c r="X3654" s="3"/>
      <c r="Y3654" s="3"/>
      <c r="Z3654" s="3"/>
      <c r="AA3654" s="3"/>
      <c r="AB3654" s="3"/>
    </row>
    <row r="3655" spans="1:28" x14ac:dyDescent="0.3">
      <c r="A3655" s="2"/>
      <c r="F3655" s="3"/>
      <c r="G3655" s="3"/>
      <c r="N3655" s="3"/>
      <c r="Q3655" s="3"/>
      <c r="R3655" s="3"/>
      <c r="S3655" s="3"/>
      <c r="V3655" s="3"/>
      <c r="W3655" s="3"/>
      <c r="X3655" s="3"/>
      <c r="Y3655" s="3"/>
      <c r="Z3655" s="3"/>
      <c r="AA3655" s="3"/>
      <c r="AB3655" s="3"/>
    </row>
    <row r="3656" spans="1:28" x14ac:dyDescent="0.3">
      <c r="A3656" s="2"/>
      <c r="F3656" s="3"/>
      <c r="G3656" s="3"/>
      <c r="N3656" s="3"/>
      <c r="Q3656" s="3"/>
      <c r="R3656" s="3"/>
      <c r="S3656" s="3"/>
      <c r="V3656" s="3"/>
      <c r="W3656" s="3"/>
      <c r="X3656" s="3"/>
      <c r="Y3656" s="3"/>
      <c r="Z3656" s="3"/>
      <c r="AA3656" s="3"/>
      <c r="AB3656" s="3"/>
    </row>
    <row r="3657" spans="1:28" x14ac:dyDescent="0.3">
      <c r="A3657" s="2"/>
      <c r="F3657" s="3"/>
      <c r="G3657" s="3"/>
      <c r="N3657" s="3"/>
      <c r="Q3657" s="3"/>
      <c r="R3657" s="3"/>
      <c r="S3657" s="3"/>
      <c r="V3657" s="3"/>
      <c r="W3657" s="3"/>
      <c r="X3657" s="3"/>
      <c r="Y3657" s="3"/>
      <c r="Z3657" s="3"/>
      <c r="AA3657" s="3"/>
      <c r="AB3657" s="3"/>
    </row>
    <row r="3658" spans="1:28" x14ac:dyDescent="0.3">
      <c r="A3658" s="2"/>
      <c r="F3658" s="3"/>
      <c r="G3658" s="3"/>
      <c r="N3658" s="3"/>
      <c r="Q3658" s="3"/>
      <c r="R3658" s="3"/>
      <c r="S3658" s="3"/>
      <c r="V3658" s="3"/>
      <c r="W3658" s="3"/>
      <c r="X3658" s="3"/>
      <c r="Y3658" s="3"/>
      <c r="Z3658" s="3"/>
      <c r="AA3658" s="3"/>
      <c r="AB3658" s="3"/>
    </row>
    <row r="3659" spans="1:28" x14ac:dyDescent="0.3">
      <c r="A3659" s="2"/>
      <c r="F3659" s="3"/>
      <c r="G3659" s="3"/>
      <c r="N3659" s="3"/>
      <c r="Q3659" s="3"/>
      <c r="R3659" s="3"/>
      <c r="S3659" s="3"/>
      <c r="V3659" s="3"/>
      <c r="W3659" s="3"/>
      <c r="X3659" s="3"/>
      <c r="Y3659" s="3"/>
      <c r="Z3659" s="3"/>
      <c r="AA3659" s="3"/>
      <c r="AB3659" s="3"/>
    </row>
    <row r="3660" spans="1:28" x14ac:dyDescent="0.3">
      <c r="A3660" s="2"/>
      <c r="F3660" s="3"/>
      <c r="G3660" s="3"/>
      <c r="N3660" s="3"/>
      <c r="Q3660" s="3"/>
      <c r="R3660" s="3"/>
      <c r="S3660" s="3"/>
      <c r="V3660" s="3"/>
      <c r="W3660" s="3"/>
      <c r="X3660" s="3"/>
      <c r="Y3660" s="3"/>
      <c r="Z3660" s="3"/>
      <c r="AA3660" s="3"/>
      <c r="AB3660" s="3"/>
    </row>
    <row r="3661" spans="1:28" x14ac:dyDescent="0.3">
      <c r="A3661" s="2"/>
      <c r="F3661" s="3"/>
      <c r="G3661" s="3"/>
      <c r="N3661" s="3"/>
      <c r="Q3661" s="3"/>
      <c r="R3661" s="3"/>
      <c r="S3661" s="3"/>
      <c r="V3661" s="3"/>
      <c r="W3661" s="3"/>
      <c r="X3661" s="3"/>
      <c r="Y3661" s="3"/>
      <c r="Z3661" s="3"/>
      <c r="AA3661" s="3"/>
      <c r="AB3661" s="3"/>
    </row>
    <row r="3662" spans="1:28" x14ac:dyDescent="0.3">
      <c r="A3662" s="2"/>
      <c r="F3662" s="3"/>
      <c r="G3662" s="3"/>
      <c r="N3662" s="3"/>
      <c r="Q3662" s="3"/>
      <c r="R3662" s="3"/>
      <c r="S3662" s="3"/>
      <c r="V3662" s="3"/>
      <c r="W3662" s="3"/>
      <c r="X3662" s="3"/>
      <c r="Y3662" s="3"/>
      <c r="Z3662" s="3"/>
      <c r="AA3662" s="3"/>
      <c r="AB3662" s="3"/>
    </row>
    <row r="3663" spans="1:28" x14ac:dyDescent="0.3">
      <c r="A3663" s="2"/>
      <c r="F3663" s="3"/>
      <c r="G3663" s="3"/>
      <c r="N3663" s="3"/>
      <c r="Q3663" s="3"/>
      <c r="R3663" s="3"/>
      <c r="S3663" s="3"/>
      <c r="V3663" s="3"/>
      <c r="W3663" s="3"/>
      <c r="X3663" s="3"/>
      <c r="Y3663" s="3"/>
      <c r="Z3663" s="3"/>
      <c r="AA3663" s="3"/>
      <c r="AB3663" s="3"/>
    </row>
    <row r="3664" spans="1:28" x14ac:dyDescent="0.3">
      <c r="A3664" s="2"/>
      <c r="F3664" s="3"/>
      <c r="G3664" s="3"/>
      <c r="N3664" s="3"/>
      <c r="Q3664" s="3"/>
      <c r="R3664" s="3"/>
      <c r="S3664" s="3"/>
      <c r="V3664" s="3"/>
      <c r="W3664" s="3"/>
      <c r="X3664" s="3"/>
      <c r="Y3664" s="3"/>
      <c r="Z3664" s="3"/>
      <c r="AA3664" s="3"/>
      <c r="AB3664" s="3"/>
    </row>
    <row r="3665" spans="1:28" x14ac:dyDescent="0.3">
      <c r="A3665" s="2"/>
      <c r="F3665" s="3"/>
      <c r="G3665" s="3"/>
      <c r="N3665" s="3"/>
      <c r="Q3665" s="3"/>
      <c r="R3665" s="3"/>
      <c r="S3665" s="3"/>
      <c r="V3665" s="3"/>
      <c r="W3665" s="3"/>
      <c r="X3665" s="3"/>
      <c r="Y3665" s="3"/>
      <c r="Z3665" s="3"/>
      <c r="AA3665" s="3"/>
      <c r="AB3665" s="3"/>
    </row>
    <row r="3666" spans="1:28" x14ac:dyDescent="0.3">
      <c r="A3666" s="2"/>
      <c r="F3666" s="3"/>
      <c r="G3666" s="3"/>
      <c r="N3666" s="3"/>
      <c r="Q3666" s="3"/>
      <c r="R3666" s="3"/>
      <c r="S3666" s="3"/>
      <c r="V3666" s="3"/>
      <c r="W3666" s="3"/>
      <c r="X3666" s="3"/>
      <c r="Y3666" s="3"/>
      <c r="Z3666" s="3"/>
      <c r="AA3666" s="3"/>
      <c r="AB3666" s="3"/>
    </row>
    <row r="3667" spans="1:28" x14ac:dyDescent="0.3">
      <c r="A3667" s="2"/>
      <c r="F3667" s="3"/>
      <c r="G3667" s="3"/>
      <c r="N3667" s="3"/>
      <c r="Q3667" s="3"/>
      <c r="R3667" s="3"/>
      <c r="S3667" s="3"/>
      <c r="V3667" s="3"/>
      <c r="W3667" s="3"/>
      <c r="X3667" s="3"/>
      <c r="Y3667" s="3"/>
      <c r="Z3667" s="3"/>
      <c r="AA3667" s="3"/>
      <c r="AB3667" s="3"/>
    </row>
    <row r="3668" spans="1:28" x14ac:dyDescent="0.3">
      <c r="A3668" s="2"/>
      <c r="F3668" s="3"/>
      <c r="G3668" s="3"/>
      <c r="N3668" s="3"/>
      <c r="Q3668" s="3"/>
      <c r="R3668" s="3"/>
      <c r="S3668" s="3"/>
      <c r="V3668" s="3"/>
      <c r="W3668" s="3"/>
      <c r="X3668" s="3"/>
      <c r="Y3668" s="3"/>
      <c r="Z3668" s="3"/>
      <c r="AA3668" s="3"/>
      <c r="AB3668" s="3"/>
    </row>
    <row r="3669" spans="1:28" x14ac:dyDescent="0.3">
      <c r="A3669" s="2"/>
      <c r="F3669" s="3"/>
      <c r="G3669" s="3"/>
      <c r="N3669" s="3"/>
      <c r="Q3669" s="3"/>
      <c r="R3669" s="3"/>
      <c r="S3669" s="3"/>
      <c r="V3669" s="3"/>
      <c r="W3669" s="3"/>
      <c r="X3669" s="3"/>
      <c r="Y3669" s="3"/>
      <c r="Z3669" s="3"/>
      <c r="AA3669" s="3"/>
      <c r="AB3669" s="3"/>
    </row>
    <row r="3670" spans="1:28" x14ac:dyDescent="0.3">
      <c r="A3670" s="2"/>
      <c r="F3670" s="3"/>
      <c r="G3670" s="3"/>
      <c r="N3670" s="3"/>
      <c r="Q3670" s="3"/>
      <c r="R3670" s="3"/>
      <c r="S3670" s="3"/>
      <c r="V3670" s="3"/>
      <c r="W3670" s="3"/>
      <c r="X3670" s="3"/>
      <c r="Y3670" s="3"/>
      <c r="Z3670" s="3"/>
      <c r="AA3670" s="3"/>
      <c r="AB3670" s="3"/>
    </row>
    <row r="3671" spans="1:28" x14ac:dyDescent="0.3">
      <c r="A3671" s="2"/>
      <c r="F3671" s="3"/>
      <c r="G3671" s="3"/>
      <c r="N3671" s="3"/>
      <c r="Q3671" s="3"/>
      <c r="R3671" s="3"/>
      <c r="S3671" s="3"/>
      <c r="V3671" s="3"/>
      <c r="W3671" s="3"/>
      <c r="X3671" s="3"/>
      <c r="Y3671" s="3"/>
      <c r="Z3671" s="3"/>
      <c r="AA3671" s="3"/>
      <c r="AB3671" s="3"/>
    </row>
    <row r="3672" spans="1:28" x14ac:dyDescent="0.3">
      <c r="A3672" s="2"/>
      <c r="F3672" s="3"/>
      <c r="G3672" s="3"/>
      <c r="N3672" s="3"/>
      <c r="Q3672" s="3"/>
      <c r="R3672" s="3"/>
      <c r="S3672" s="3"/>
      <c r="V3672" s="3"/>
      <c r="W3672" s="3"/>
      <c r="X3672" s="3"/>
      <c r="Y3672" s="3"/>
      <c r="Z3672" s="3"/>
      <c r="AA3672" s="3"/>
      <c r="AB3672" s="3"/>
    </row>
    <row r="3673" spans="1:28" x14ac:dyDescent="0.3">
      <c r="A3673" s="2"/>
      <c r="F3673" s="3"/>
      <c r="G3673" s="3"/>
      <c r="N3673" s="3"/>
      <c r="Q3673" s="3"/>
      <c r="R3673" s="3"/>
      <c r="S3673" s="3"/>
      <c r="V3673" s="3"/>
      <c r="W3673" s="3"/>
      <c r="X3673" s="3"/>
      <c r="Y3673" s="3"/>
      <c r="Z3673" s="3"/>
      <c r="AA3673" s="3"/>
      <c r="AB3673" s="3"/>
    </row>
    <row r="3674" spans="1:28" x14ac:dyDescent="0.3">
      <c r="A3674" s="2"/>
      <c r="F3674" s="3"/>
      <c r="G3674" s="3"/>
      <c r="N3674" s="3"/>
      <c r="Q3674" s="3"/>
      <c r="R3674" s="3"/>
      <c r="S3674" s="3"/>
      <c r="V3674" s="3"/>
      <c r="W3674" s="3"/>
      <c r="X3674" s="3"/>
      <c r="Y3674" s="3"/>
      <c r="Z3674" s="3"/>
      <c r="AA3674" s="3"/>
      <c r="AB3674" s="3"/>
    </row>
    <row r="3675" spans="1:28" x14ac:dyDescent="0.3">
      <c r="A3675" s="2"/>
      <c r="F3675" s="3"/>
      <c r="G3675" s="3"/>
      <c r="N3675" s="3"/>
      <c r="Q3675" s="3"/>
      <c r="R3675" s="3"/>
      <c r="S3675" s="3"/>
      <c r="V3675" s="3"/>
      <c r="W3675" s="3"/>
      <c r="X3675" s="3"/>
      <c r="Y3675" s="3"/>
      <c r="Z3675" s="3"/>
      <c r="AA3675" s="3"/>
      <c r="AB3675" s="3"/>
    </row>
    <row r="3676" spans="1:28" x14ac:dyDescent="0.3">
      <c r="A3676" s="2"/>
      <c r="F3676" s="3"/>
      <c r="G3676" s="3"/>
      <c r="N3676" s="3"/>
      <c r="Q3676" s="3"/>
      <c r="R3676" s="3"/>
      <c r="S3676" s="3"/>
      <c r="V3676" s="3"/>
      <c r="W3676" s="3"/>
      <c r="X3676" s="3"/>
      <c r="Y3676" s="3"/>
      <c r="Z3676" s="3"/>
      <c r="AA3676" s="3"/>
      <c r="AB3676" s="3"/>
    </row>
    <row r="3677" spans="1:28" x14ac:dyDescent="0.3">
      <c r="A3677" s="2"/>
      <c r="F3677" s="3"/>
      <c r="G3677" s="3"/>
      <c r="N3677" s="3"/>
      <c r="Q3677" s="3"/>
      <c r="R3677" s="3"/>
      <c r="S3677" s="3"/>
      <c r="V3677" s="3"/>
      <c r="W3677" s="3"/>
      <c r="X3677" s="3"/>
      <c r="Y3677" s="3"/>
      <c r="Z3677" s="3"/>
      <c r="AA3677" s="3"/>
      <c r="AB3677" s="3"/>
    </row>
    <row r="3678" spans="1:28" x14ac:dyDescent="0.3">
      <c r="A3678" s="2"/>
      <c r="F3678" s="3"/>
      <c r="G3678" s="3"/>
      <c r="N3678" s="3"/>
      <c r="Q3678" s="3"/>
      <c r="R3678" s="3"/>
      <c r="S3678" s="3"/>
      <c r="V3678" s="3"/>
      <c r="W3678" s="3"/>
      <c r="X3678" s="3"/>
      <c r="Y3678" s="3"/>
      <c r="Z3678" s="3"/>
      <c r="AA3678" s="3"/>
      <c r="AB3678" s="3"/>
    </row>
    <row r="3679" spans="1:28" x14ac:dyDescent="0.3">
      <c r="A3679" s="2"/>
      <c r="F3679" s="3"/>
      <c r="G3679" s="3"/>
      <c r="N3679" s="3"/>
      <c r="Q3679" s="3"/>
      <c r="R3679" s="3"/>
      <c r="S3679" s="3"/>
      <c r="V3679" s="3"/>
      <c r="W3679" s="3"/>
      <c r="X3679" s="3"/>
      <c r="Y3679" s="3"/>
      <c r="Z3679" s="3"/>
      <c r="AA3679" s="3"/>
      <c r="AB3679" s="3"/>
    </row>
    <row r="3680" spans="1:28" x14ac:dyDescent="0.3">
      <c r="A3680" s="2"/>
      <c r="F3680" s="3"/>
      <c r="G3680" s="3"/>
      <c r="N3680" s="3"/>
      <c r="Q3680" s="3"/>
      <c r="R3680" s="3"/>
      <c r="S3680" s="3"/>
      <c r="V3680" s="3"/>
      <c r="W3680" s="3"/>
      <c r="X3680" s="3"/>
      <c r="Y3680" s="3"/>
      <c r="Z3680" s="3"/>
      <c r="AA3680" s="3"/>
      <c r="AB3680" s="3"/>
    </row>
    <row r="3681" spans="1:28" x14ac:dyDescent="0.3">
      <c r="A3681" s="2"/>
      <c r="F3681" s="3"/>
      <c r="G3681" s="3"/>
      <c r="N3681" s="3"/>
      <c r="Q3681" s="3"/>
      <c r="R3681" s="3"/>
      <c r="S3681" s="3"/>
      <c r="V3681" s="3"/>
      <c r="W3681" s="3"/>
      <c r="X3681" s="3"/>
      <c r="Y3681" s="3"/>
      <c r="Z3681" s="3"/>
      <c r="AA3681" s="3"/>
      <c r="AB3681" s="3"/>
    </row>
    <row r="3682" spans="1:28" x14ac:dyDescent="0.3">
      <c r="A3682" s="2"/>
      <c r="F3682" s="3"/>
      <c r="G3682" s="3"/>
      <c r="N3682" s="3"/>
      <c r="Q3682" s="3"/>
      <c r="R3682" s="3"/>
      <c r="S3682" s="3"/>
      <c r="V3682" s="3"/>
      <c r="W3682" s="3"/>
      <c r="X3682" s="3"/>
      <c r="Y3682" s="3"/>
      <c r="Z3682" s="3"/>
      <c r="AA3682" s="3"/>
      <c r="AB3682" s="3"/>
    </row>
    <row r="3683" spans="1:28" x14ac:dyDescent="0.3">
      <c r="A3683" s="2"/>
      <c r="F3683" s="3"/>
      <c r="G3683" s="3"/>
      <c r="N3683" s="3"/>
      <c r="Q3683" s="3"/>
      <c r="R3683" s="3"/>
      <c r="S3683" s="3"/>
      <c r="V3683" s="3"/>
      <c r="W3683" s="3"/>
      <c r="X3683" s="3"/>
      <c r="Y3683" s="3"/>
      <c r="Z3683" s="3"/>
      <c r="AA3683" s="3"/>
      <c r="AB3683" s="3"/>
    </row>
    <row r="3684" spans="1:28" x14ac:dyDescent="0.3">
      <c r="A3684" s="2"/>
      <c r="F3684" s="3"/>
      <c r="G3684" s="3"/>
      <c r="N3684" s="3"/>
      <c r="Q3684" s="3"/>
      <c r="R3684" s="3"/>
      <c r="S3684" s="3"/>
      <c r="V3684" s="3"/>
      <c r="W3684" s="3"/>
      <c r="X3684" s="3"/>
      <c r="Y3684" s="3"/>
      <c r="Z3684" s="3"/>
      <c r="AA3684" s="3"/>
      <c r="AB3684" s="3"/>
    </row>
    <row r="3685" spans="1:28" x14ac:dyDescent="0.3">
      <c r="A3685" s="2"/>
      <c r="F3685" s="3"/>
      <c r="G3685" s="3"/>
      <c r="N3685" s="3"/>
      <c r="Q3685" s="3"/>
      <c r="R3685" s="3"/>
      <c r="S3685" s="3"/>
      <c r="V3685" s="3"/>
      <c r="W3685" s="3"/>
      <c r="X3685" s="3"/>
      <c r="Y3685" s="3"/>
      <c r="Z3685" s="3"/>
      <c r="AA3685" s="3"/>
      <c r="AB3685" s="3"/>
    </row>
    <row r="3686" spans="1:28" x14ac:dyDescent="0.3">
      <c r="A3686" s="2"/>
      <c r="F3686" s="3"/>
      <c r="G3686" s="3"/>
      <c r="N3686" s="3"/>
      <c r="Q3686" s="3"/>
      <c r="R3686" s="3"/>
      <c r="S3686" s="3"/>
      <c r="V3686" s="3"/>
      <c r="W3686" s="3"/>
      <c r="X3686" s="3"/>
      <c r="Y3686" s="3"/>
      <c r="Z3686" s="3"/>
      <c r="AA3686" s="3"/>
      <c r="AB3686" s="3"/>
    </row>
    <row r="3687" spans="1:28" x14ac:dyDescent="0.3">
      <c r="A3687" s="2"/>
      <c r="F3687" s="3"/>
      <c r="G3687" s="3"/>
      <c r="N3687" s="3"/>
      <c r="Q3687" s="3"/>
      <c r="R3687" s="3"/>
      <c r="S3687" s="3"/>
      <c r="V3687" s="3"/>
      <c r="W3687" s="3"/>
      <c r="X3687" s="3"/>
      <c r="Y3687" s="3"/>
      <c r="Z3687" s="3"/>
      <c r="AA3687" s="3"/>
      <c r="AB3687" s="3"/>
    </row>
    <row r="3688" spans="1:28" x14ac:dyDescent="0.3">
      <c r="A3688" s="2"/>
      <c r="F3688" s="3"/>
      <c r="G3688" s="3"/>
      <c r="N3688" s="3"/>
      <c r="Q3688" s="3"/>
      <c r="R3688" s="3"/>
      <c r="S3688" s="3"/>
      <c r="V3688" s="3"/>
      <c r="W3688" s="3"/>
      <c r="X3688" s="3"/>
      <c r="Y3688" s="3"/>
      <c r="Z3688" s="3"/>
      <c r="AA3688" s="3"/>
      <c r="AB3688" s="3"/>
    </row>
    <row r="3689" spans="1:28" x14ac:dyDescent="0.3">
      <c r="A3689" s="2"/>
      <c r="F3689" s="3"/>
      <c r="G3689" s="3"/>
      <c r="N3689" s="3"/>
      <c r="Q3689" s="3"/>
      <c r="R3689" s="3"/>
      <c r="S3689" s="3"/>
      <c r="V3689" s="3"/>
      <c r="W3689" s="3"/>
      <c r="X3689" s="3"/>
      <c r="Y3689" s="3"/>
      <c r="Z3689" s="3"/>
      <c r="AA3689" s="3"/>
      <c r="AB3689" s="3"/>
    </row>
    <row r="3690" spans="1:28" x14ac:dyDescent="0.3">
      <c r="A3690" s="2"/>
      <c r="F3690" s="3"/>
      <c r="G3690" s="3"/>
      <c r="N3690" s="3"/>
      <c r="Q3690" s="3"/>
      <c r="R3690" s="3"/>
      <c r="S3690" s="3"/>
      <c r="V3690" s="3"/>
      <c r="W3690" s="3"/>
      <c r="X3690" s="3"/>
      <c r="Y3690" s="3"/>
      <c r="Z3690" s="3"/>
      <c r="AA3690" s="3"/>
      <c r="AB3690" s="3"/>
    </row>
    <row r="3691" spans="1:28" x14ac:dyDescent="0.3">
      <c r="A3691" s="2"/>
      <c r="F3691" s="3"/>
      <c r="G3691" s="3"/>
      <c r="N3691" s="3"/>
      <c r="Q3691" s="3"/>
      <c r="R3691" s="3"/>
      <c r="S3691" s="3"/>
      <c r="V3691" s="3"/>
      <c r="W3691" s="3"/>
      <c r="X3691" s="3"/>
      <c r="Y3691" s="3"/>
      <c r="Z3691" s="3"/>
      <c r="AA3691" s="3"/>
      <c r="AB3691" s="3"/>
    </row>
    <row r="3692" spans="1:28" x14ac:dyDescent="0.3">
      <c r="A3692" s="2"/>
      <c r="F3692" s="3"/>
      <c r="G3692" s="3"/>
      <c r="N3692" s="3"/>
      <c r="Q3692" s="3"/>
      <c r="R3692" s="3"/>
      <c r="S3692" s="3"/>
      <c r="V3692" s="3"/>
      <c r="W3692" s="3"/>
      <c r="X3692" s="3"/>
      <c r="Y3692" s="3"/>
      <c r="Z3692" s="3"/>
      <c r="AA3692" s="3"/>
      <c r="AB3692" s="3"/>
    </row>
    <row r="3693" spans="1:28" x14ac:dyDescent="0.3">
      <c r="A3693" s="2"/>
      <c r="F3693" s="3"/>
      <c r="G3693" s="3"/>
      <c r="N3693" s="3"/>
      <c r="Q3693" s="3"/>
      <c r="R3693" s="3"/>
      <c r="S3693" s="3"/>
      <c r="V3693" s="3"/>
      <c r="W3693" s="3"/>
      <c r="X3693" s="3"/>
      <c r="Y3693" s="3"/>
      <c r="Z3693" s="3"/>
      <c r="AA3693" s="3"/>
      <c r="AB3693" s="3"/>
    </row>
    <row r="3694" spans="1:28" x14ac:dyDescent="0.3">
      <c r="A3694" s="2"/>
      <c r="F3694" s="3"/>
      <c r="G3694" s="3"/>
      <c r="N3694" s="3"/>
      <c r="Q3694" s="3"/>
      <c r="R3694" s="3"/>
      <c r="S3694" s="3"/>
      <c r="V3694" s="3"/>
      <c r="W3694" s="3"/>
      <c r="X3694" s="3"/>
      <c r="Y3694" s="3"/>
      <c r="Z3694" s="3"/>
      <c r="AA3694" s="3"/>
      <c r="AB3694" s="3"/>
    </row>
    <row r="3695" spans="1:28" x14ac:dyDescent="0.3">
      <c r="A3695" s="2"/>
      <c r="F3695" s="3"/>
      <c r="G3695" s="3"/>
      <c r="N3695" s="3"/>
      <c r="Q3695" s="3"/>
      <c r="R3695" s="3"/>
      <c r="S3695" s="3"/>
      <c r="V3695" s="3"/>
      <c r="W3695" s="3"/>
      <c r="X3695" s="3"/>
      <c r="Y3695" s="3"/>
      <c r="Z3695" s="3"/>
      <c r="AA3695" s="3"/>
      <c r="AB3695" s="3"/>
    </row>
    <row r="3696" spans="1:28" x14ac:dyDescent="0.3">
      <c r="A3696" s="2"/>
      <c r="F3696" s="3"/>
      <c r="G3696" s="3"/>
      <c r="N3696" s="3"/>
      <c r="Q3696" s="3"/>
      <c r="R3696" s="3"/>
      <c r="S3696" s="3"/>
      <c r="V3696" s="3"/>
      <c r="W3696" s="3"/>
      <c r="X3696" s="3"/>
      <c r="Y3696" s="3"/>
      <c r="Z3696" s="3"/>
      <c r="AA3696" s="3"/>
      <c r="AB3696" s="3"/>
    </row>
    <row r="3697" spans="1:28" x14ac:dyDescent="0.3">
      <c r="A3697" s="2"/>
      <c r="F3697" s="3"/>
      <c r="G3697" s="3"/>
      <c r="N3697" s="3"/>
      <c r="Q3697" s="3"/>
      <c r="R3697" s="3"/>
      <c r="S3697" s="3"/>
      <c r="V3697" s="3"/>
      <c r="W3697" s="3"/>
      <c r="X3697" s="3"/>
      <c r="Y3697" s="3"/>
      <c r="Z3697" s="3"/>
      <c r="AA3697" s="3"/>
      <c r="AB3697" s="3"/>
    </row>
    <row r="3698" spans="1:28" x14ac:dyDescent="0.3">
      <c r="A3698" s="2"/>
      <c r="F3698" s="3"/>
      <c r="G3698" s="3"/>
      <c r="N3698" s="3"/>
      <c r="Q3698" s="3"/>
      <c r="R3698" s="3"/>
      <c r="S3698" s="3"/>
      <c r="V3698" s="3"/>
      <c r="W3698" s="3"/>
      <c r="X3698" s="3"/>
      <c r="Y3698" s="3"/>
      <c r="Z3698" s="3"/>
      <c r="AA3698" s="3"/>
      <c r="AB3698" s="3"/>
    </row>
    <row r="3699" spans="1:28" x14ac:dyDescent="0.3">
      <c r="A3699" s="2"/>
      <c r="F3699" s="3"/>
      <c r="G3699" s="3"/>
      <c r="N3699" s="3"/>
      <c r="Q3699" s="3"/>
      <c r="R3699" s="3"/>
      <c r="S3699" s="3"/>
      <c r="V3699" s="3"/>
      <c r="W3699" s="3"/>
      <c r="X3699" s="3"/>
      <c r="Y3699" s="3"/>
      <c r="Z3699" s="3"/>
      <c r="AA3699" s="3"/>
      <c r="AB3699" s="3"/>
    </row>
    <row r="3700" spans="1:28" x14ac:dyDescent="0.3">
      <c r="A3700" s="2"/>
      <c r="F3700" s="3"/>
      <c r="G3700" s="3"/>
      <c r="N3700" s="3"/>
      <c r="Q3700" s="3"/>
      <c r="R3700" s="3"/>
      <c r="S3700" s="3"/>
      <c r="V3700" s="3"/>
      <c r="W3700" s="3"/>
      <c r="X3700" s="3"/>
      <c r="Y3700" s="3"/>
      <c r="Z3700" s="3"/>
      <c r="AA3700" s="3"/>
      <c r="AB3700" s="3"/>
    </row>
    <row r="3701" spans="1:28" x14ac:dyDescent="0.3">
      <c r="A3701" s="2"/>
      <c r="F3701" s="3"/>
      <c r="G3701" s="3"/>
      <c r="N3701" s="3"/>
      <c r="Q3701" s="3"/>
      <c r="R3701" s="3"/>
      <c r="S3701" s="3"/>
      <c r="V3701" s="3"/>
      <c r="W3701" s="3"/>
      <c r="X3701" s="3"/>
      <c r="Y3701" s="3"/>
      <c r="Z3701" s="3"/>
      <c r="AA3701" s="3"/>
      <c r="AB3701" s="3"/>
    </row>
    <row r="3702" spans="1:28" x14ac:dyDescent="0.3">
      <c r="A3702" s="2"/>
      <c r="F3702" s="3"/>
      <c r="G3702" s="3"/>
      <c r="N3702" s="3"/>
      <c r="Q3702" s="3"/>
      <c r="R3702" s="3"/>
      <c r="S3702" s="3"/>
      <c r="V3702" s="3"/>
      <c r="W3702" s="3"/>
      <c r="X3702" s="3"/>
      <c r="Y3702" s="3"/>
      <c r="Z3702" s="3"/>
      <c r="AA3702" s="3"/>
      <c r="AB3702" s="3"/>
    </row>
    <row r="3703" spans="1:28" x14ac:dyDescent="0.3">
      <c r="A3703" s="2"/>
      <c r="F3703" s="3"/>
      <c r="G3703" s="3"/>
      <c r="N3703" s="3"/>
      <c r="Q3703" s="3"/>
      <c r="R3703" s="3"/>
      <c r="S3703" s="3"/>
      <c r="V3703" s="3"/>
      <c r="W3703" s="3"/>
      <c r="X3703" s="3"/>
      <c r="Y3703" s="3"/>
      <c r="Z3703" s="3"/>
      <c r="AA3703" s="3"/>
      <c r="AB3703" s="3"/>
    </row>
    <row r="3704" spans="1:28" x14ac:dyDescent="0.3">
      <c r="A3704" s="2"/>
      <c r="F3704" s="3"/>
      <c r="G3704" s="3"/>
      <c r="N3704" s="3"/>
      <c r="Q3704" s="3"/>
      <c r="R3704" s="3"/>
      <c r="S3704" s="3"/>
      <c r="V3704" s="3"/>
      <c r="W3704" s="3"/>
      <c r="X3704" s="3"/>
      <c r="Y3704" s="3"/>
      <c r="Z3704" s="3"/>
      <c r="AA3704" s="3"/>
      <c r="AB3704" s="3"/>
    </row>
    <row r="3705" spans="1:28" x14ac:dyDescent="0.3">
      <c r="A3705" s="2"/>
      <c r="F3705" s="3"/>
      <c r="G3705" s="3"/>
      <c r="N3705" s="3"/>
      <c r="Q3705" s="3"/>
      <c r="R3705" s="3"/>
      <c r="S3705" s="3"/>
      <c r="V3705" s="3"/>
      <c r="W3705" s="3"/>
      <c r="X3705" s="3"/>
      <c r="Y3705" s="3"/>
      <c r="Z3705" s="3"/>
      <c r="AA3705" s="3"/>
      <c r="AB3705" s="3"/>
    </row>
    <row r="3706" spans="1:28" x14ac:dyDescent="0.3">
      <c r="A3706" s="2"/>
      <c r="F3706" s="3"/>
      <c r="G3706" s="3"/>
      <c r="N3706" s="3"/>
      <c r="Q3706" s="3"/>
      <c r="R3706" s="3"/>
      <c r="S3706" s="3"/>
      <c r="V3706" s="3"/>
      <c r="W3706" s="3"/>
      <c r="X3706" s="3"/>
      <c r="Y3706" s="3"/>
      <c r="Z3706" s="3"/>
      <c r="AA3706" s="3"/>
      <c r="AB3706" s="3"/>
    </row>
    <row r="3707" spans="1:28" x14ac:dyDescent="0.3">
      <c r="A3707" s="2"/>
      <c r="F3707" s="3"/>
      <c r="G3707" s="3"/>
      <c r="N3707" s="3"/>
      <c r="Q3707" s="3"/>
      <c r="R3707" s="3"/>
      <c r="S3707" s="3"/>
      <c r="V3707" s="3"/>
      <c r="W3707" s="3"/>
      <c r="X3707" s="3"/>
      <c r="Y3707" s="3"/>
      <c r="Z3707" s="3"/>
      <c r="AA3707" s="3"/>
      <c r="AB3707" s="3"/>
    </row>
    <row r="3708" spans="1:28" x14ac:dyDescent="0.3">
      <c r="A3708" s="2"/>
      <c r="F3708" s="3"/>
      <c r="G3708" s="3"/>
      <c r="N3708" s="3"/>
      <c r="Q3708" s="3"/>
      <c r="R3708" s="3"/>
      <c r="S3708" s="3"/>
      <c r="V3708" s="3"/>
      <c r="W3708" s="3"/>
      <c r="X3708" s="3"/>
      <c r="Y3708" s="3"/>
      <c r="Z3708" s="3"/>
      <c r="AA3708" s="3"/>
      <c r="AB3708" s="3"/>
    </row>
    <row r="3709" spans="1:28" x14ac:dyDescent="0.3">
      <c r="A3709" s="2"/>
      <c r="F3709" s="3"/>
      <c r="G3709" s="3"/>
      <c r="N3709" s="3"/>
      <c r="Q3709" s="3"/>
      <c r="R3709" s="3"/>
      <c r="S3709" s="3"/>
      <c r="V3709" s="3"/>
      <c r="W3709" s="3"/>
      <c r="X3709" s="3"/>
      <c r="Y3709" s="3"/>
      <c r="Z3709" s="3"/>
      <c r="AA3709" s="3"/>
      <c r="AB3709" s="3"/>
    </row>
    <row r="3710" spans="1:28" x14ac:dyDescent="0.3">
      <c r="A3710" s="2"/>
      <c r="F3710" s="3"/>
      <c r="G3710" s="3"/>
      <c r="N3710" s="3"/>
      <c r="Q3710" s="3"/>
      <c r="R3710" s="3"/>
      <c r="S3710" s="3"/>
      <c r="V3710" s="3"/>
      <c r="W3710" s="3"/>
      <c r="X3710" s="3"/>
      <c r="Y3710" s="3"/>
      <c r="Z3710" s="3"/>
      <c r="AA3710" s="3"/>
      <c r="AB3710" s="3"/>
    </row>
    <row r="3711" spans="1:28" x14ac:dyDescent="0.3">
      <c r="A3711" s="2"/>
      <c r="F3711" s="3"/>
      <c r="G3711" s="3"/>
      <c r="N3711" s="3"/>
      <c r="Q3711" s="3"/>
      <c r="R3711" s="3"/>
      <c r="S3711" s="3"/>
      <c r="V3711" s="3"/>
      <c r="W3711" s="3"/>
      <c r="X3711" s="3"/>
      <c r="Y3711" s="3"/>
      <c r="Z3711" s="3"/>
      <c r="AA3711" s="3"/>
      <c r="AB3711" s="3"/>
    </row>
    <row r="3712" spans="1:28" x14ac:dyDescent="0.3">
      <c r="A3712" s="2"/>
      <c r="F3712" s="3"/>
      <c r="G3712" s="3"/>
      <c r="N3712" s="3"/>
      <c r="Q3712" s="3"/>
      <c r="R3712" s="3"/>
      <c r="S3712" s="3"/>
      <c r="V3712" s="3"/>
      <c r="W3712" s="3"/>
      <c r="X3712" s="3"/>
      <c r="Y3712" s="3"/>
      <c r="Z3712" s="3"/>
      <c r="AA3712" s="3"/>
      <c r="AB3712" s="3"/>
    </row>
    <row r="3713" spans="1:28" x14ac:dyDescent="0.3">
      <c r="A3713" s="2"/>
      <c r="F3713" s="3"/>
      <c r="G3713" s="3"/>
      <c r="N3713" s="3"/>
      <c r="Q3713" s="3"/>
      <c r="R3713" s="3"/>
      <c r="S3713" s="3"/>
      <c r="V3713" s="3"/>
      <c r="W3713" s="3"/>
      <c r="X3713" s="3"/>
      <c r="Y3713" s="3"/>
      <c r="Z3713" s="3"/>
      <c r="AA3713" s="3"/>
      <c r="AB3713" s="3"/>
    </row>
    <row r="3714" spans="1:28" x14ac:dyDescent="0.3">
      <c r="A3714" s="2"/>
      <c r="F3714" s="3"/>
      <c r="G3714" s="3"/>
      <c r="N3714" s="3"/>
      <c r="Q3714" s="3"/>
      <c r="R3714" s="3"/>
      <c r="S3714" s="3"/>
      <c r="V3714" s="3"/>
      <c r="W3714" s="3"/>
      <c r="X3714" s="3"/>
      <c r="Y3714" s="3"/>
      <c r="Z3714" s="3"/>
      <c r="AA3714" s="3"/>
      <c r="AB3714" s="3"/>
    </row>
    <row r="3715" spans="1:28" x14ac:dyDescent="0.3">
      <c r="A3715" s="2"/>
      <c r="F3715" s="3"/>
      <c r="G3715" s="3"/>
      <c r="N3715" s="3"/>
      <c r="Q3715" s="3"/>
      <c r="R3715" s="3"/>
      <c r="S3715" s="3"/>
      <c r="V3715" s="3"/>
      <c r="W3715" s="3"/>
      <c r="X3715" s="3"/>
      <c r="Y3715" s="3"/>
      <c r="Z3715" s="3"/>
      <c r="AA3715" s="3"/>
      <c r="AB3715" s="3"/>
    </row>
    <row r="3716" spans="1:28" x14ac:dyDescent="0.3">
      <c r="A3716" s="2"/>
      <c r="F3716" s="3"/>
      <c r="G3716" s="3"/>
      <c r="N3716" s="3"/>
      <c r="Q3716" s="3"/>
      <c r="R3716" s="3"/>
      <c r="S3716" s="3"/>
      <c r="V3716" s="3"/>
      <c r="W3716" s="3"/>
      <c r="X3716" s="3"/>
      <c r="Y3716" s="3"/>
      <c r="Z3716" s="3"/>
      <c r="AA3716" s="3"/>
      <c r="AB3716" s="3"/>
    </row>
    <row r="3717" spans="1:28" x14ac:dyDescent="0.3">
      <c r="A3717" s="2"/>
      <c r="F3717" s="3"/>
      <c r="G3717" s="3"/>
      <c r="N3717" s="3"/>
      <c r="Q3717" s="3"/>
      <c r="R3717" s="3"/>
      <c r="S3717" s="3"/>
      <c r="V3717" s="3"/>
      <c r="W3717" s="3"/>
      <c r="X3717" s="3"/>
      <c r="Y3717" s="3"/>
      <c r="Z3717" s="3"/>
      <c r="AA3717" s="3"/>
      <c r="AB3717" s="3"/>
    </row>
    <row r="3718" spans="1:28" x14ac:dyDescent="0.3">
      <c r="A3718" s="2"/>
      <c r="F3718" s="3"/>
      <c r="G3718" s="3"/>
      <c r="N3718" s="3"/>
      <c r="Q3718" s="3"/>
      <c r="R3718" s="3"/>
      <c r="S3718" s="3"/>
      <c r="V3718" s="3"/>
      <c r="W3718" s="3"/>
      <c r="X3718" s="3"/>
      <c r="Y3718" s="3"/>
      <c r="Z3718" s="3"/>
      <c r="AA3718" s="3"/>
      <c r="AB3718" s="3"/>
    </row>
    <row r="3719" spans="1:28" x14ac:dyDescent="0.3">
      <c r="A3719" s="2"/>
      <c r="F3719" s="3"/>
      <c r="G3719" s="3"/>
      <c r="N3719" s="3"/>
      <c r="Q3719" s="3"/>
      <c r="R3719" s="3"/>
      <c r="S3719" s="3"/>
      <c r="V3719" s="3"/>
      <c r="W3719" s="3"/>
      <c r="X3719" s="3"/>
      <c r="Y3719" s="3"/>
      <c r="Z3719" s="3"/>
      <c r="AA3719" s="3"/>
      <c r="AB3719" s="3"/>
    </row>
    <row r="3720" spans="1:28" x14ac:dyDescent="0.3">
      <c r="A3720" s="2"/>
      <c r="F3720" s="3"/>
      <c r="G3720" s="3"/>
      <c r="N3720" s="3"/>
      <c r="Q3720" s="3"/>
      <c r="R3720" s="3"/>
      <c r="S3720" s="3"/>
      <c r="V3720" s="3"/>
      <c r="W3720" s="3"/>
      <c r="X3720" s="3"/>
      <c r="Y3720" s="3"/>
      <c r="Z3720" s="3"/>
      <c r="AA3720" s="3"/>
      <c r="AB3720" s="3"/>
    </row>
    <row r="3721" spans="1:28" x14ac:dyDescent="0.3">
      <c r="A3721" s="2"/>
      <c r="F3721" s="3"/>
      <c r="G3721" s="3"/>
      <c r="N3721" s="3"/>
      <c r="Q3721" s="3"/>
      <c r="R3721" s="3"/>
      <c r="S3721" s="3"/>
      <c r="V3721" s="3"/>
      <c r="W3721" s="3"/>
      <c r="X3721" s="3"/>
      <c r="Y3721" s="3"/>
      <c r="Z3721" s="3"/>
      <c r="AA3721" s="3"/>
      <c r="AB3721" s="3"/>
    </row>
    <row r="3722" spans="1:28" x14ac:dyDescent="0.3">
      <c r="A3722" s="2"/>
      <c r="F3722" s="3"/>
      <c r="G3722" s="3"/>
      <c r="N3722" s="3"/>
      <c r="Q3722" s="3"/>
      <c r="R3722" s="3"/>
      <c r="S3722" s="3"/>
      <c r="V3722" s="3"/>
      <c r="W3722" s="3"/>
      <c r="X3722" s="3"/>
      <c r="Y3722" s="3"/>
      <c r="Z3722" s="3"/>
      <c r="AA3722" s="3"/>
      <c r="AB3722" s="3"/>
    </row>
    <row r="3723" spans="1:28" x14ac:dyDescent="0.3">
      <c r="A3723" s="2"/>
      <c r="F3723" s="3"/>
      <c r="G3723" s="3"/>
      <c r="N3723" s="3"/>
      <c r="Q3723" s="3"/>
      <c r="R3723" s="3"/>
      <c r="S3723" s="3"/>
      <c r="V3723" s="3"/>
      <c r="W3723" s="3"/>
      <c r="X3723" s="3"/>
      <c r="Y3723" s="3"/>
      <c r="Z3723" s="3"/>
      <c r="AA3723" s="3"/>
      <c r="AB3723" s="3"/>
    </row>
    <row r="3724" spans="1:28" x14ac:dyDescent="0.3">
      <c r="A3724" s="2"/>
      <c r="F3724" s="3"/>
      <c r="G3724" s="3"/>
      <c r="N3724" s="3"/>
      <c r="Q3724" s="3"/>
      <c r="R3724" s="3"/>
      <c r="S3724" s="3"/>
      <c r="V3724" s="3"/>
      <c r="W3724" s="3"/>
      <c r="X3724" s="3"/>
      <c r="Y3724" s="3"/>
      <c r="Z3724" s="3"/>
      <c r="AA3724" s="3"/>
      <c r="AB3724" s="3"/>
    </row>
    <row r="3725" spans="1:28" x14ac:dyDescent="0.3">
      <c r="A3725" s="2"/>
      <c r="F3725" s="3"/>
      <c r="G3725" s="3"/>
      <c r="N3725" s="3"/>
      <c r="Q3725" s="3"/>
      <c r="R3725" s="3"/>
      <c r="S3725" s="3"/>
      <c r="V3725" s="3"/>
      <c r="W3725" s="3"/>
      <c r="X3725" s="3"/>
      <c r="Y3725" s="3"/>
      <c r="Z3725" s="3"/>
      <c r="AA3725" s="3"/>
      <c r="AB3725" s="3"/>
    </row>
    <row r="3726" spans="1:28" x14ac:dyDescent="0.3">
      <c r="A3726" s="2"/>
      <c r="F3726" s="3"/>
      <c r="G3726" s="3"/>
      <c r="N3726" s="3"/>
      <c r="Q3726" s="3"/>
      <c r="R3726" s="3"/>
      <c r="S3726" s="3"/>
      <c r="V3726" s="3"/>
      <c r="W3726" s="3"/>
      <c r="X3726" s="3"/>
      <c r="Y3726" s="3"/>
      <c r="Z3726" s="3"/>
      <c r="AA3726" s="3"/>
      <c r="AB3726" s="3"/>
    </row>
    <row r="3727" spans="1:28" x14ac:dyDescent="0.3">
      <c r="A3727" s="2"/>
      <c r="F3727" s="3"/>
      <c r="G3727" s="3"/>
      <c r="N3727" s="3"/>
      <c r="Q3727" s="3"/>
      <c r="R3727" s="3"/>
      <c r="S3727" s="3"/>
      <c r="V3727" s="3"/>
      <c r="W3727" s="3"/>
      <c r="X3727" s="3"/>
      <c r="Y3727" s="3"/>
      <c r="Z3727" s="3"/>
      <c r="AA3727" s="3"/>
      <c r="AB3727" s="3"/>
    </row>
    <row r="3728" spans="1:28" x14ac:dyDescent="0.3">
      <c r="A3728" s="2"/>
      <c r="F3728" s="3"/>
      <c r="G3728" s="3"/>
      <c r="N3728" s="3"/>
      <c r="Q3728" s="3"/>
      <c r="R3728" s="3"/>
      <c r="S3728" s="3"/>
      <c r="V3728" s="3"/>
      <c r="W3728" s="3"/>
      <c r="X3728" s="3"/>
      <c r="Y3728" s="3"/>
      <c r="Z3728" s="3"/>
      <c r="AA3728" s="3"/>
      <c r="AB3728" s="3"/>
    </row>
    <row r="3729" spans="1:28" x14ac:dyDescent="0.3">
      <c r="A3729" s="2"/>
      <c r="F3729" s="3"/>
      <c r="G3729" s="3"/>
      <c r="N3729" s="3"/>
      <c r="Q3729" s="3"/>
      <c r="R3729" s="3"/>
      <c r="S3729" s="3"/>
      <c r="V3729" s="3"/>
      <c r="W3729" s="3"/>
      <c r="X3729" s="3"/>
      <c r="Y3729" s="3"/>
      <c r="Z3729" s="3"/>
      <c r="AA3729" s="3"/>
      <c r="AB3729" s="3"/>
    </row>
    <row r="3730" spans="1:28" x14ac:dyDescent="0.3">
      <c r="A3730" s="2"/>
      <c r="F3730" s="3"/>
      <c r="G3730" s="3"/>
      <c r="N3730" s="3"/>
      <c r="Q3730" s="3"/>
      <c r="R3730" s="3"/>
      <c r="S3730" s="3"/>
      <c r="V3730" s="3"/>
      <c r="W3730" s="3"/>
      <c r="X3730" s="3"/>
      <c r="Y3730" s="3"/>
      <c r="Z3730" s="3"/>
      <c r="AA3730" s="3"/>
      <c r="AB3730" s="3"/>
    </row>
    <row r="3731" spans="1:28" x14ac:dyDescent="0.3">
      <c r="A3731" s="2"/>
      <c r="F3731" s="3"/>
      <c r="G3731" s="3"/>
      <c r="N3731" s="3"/>
      <c r="Q3731" s="3"/>
      <c r="R3731" s="3"/>
      <c r="S3731" s="3"/>
      <c r="V3731" s="3"/>
      <c r="W3731" s="3"/>
      <c r="X3731" s="3"/>
      <c r="Y3731" s="3"/>
      <c r="Z3731" s="3"/>
      <c r="AA3731" s="3"/>
      <c r="AB3731" s="3"/>
    </row>
    <row r="3732" spans="1:28" x14ac:dyDescent="0.3">
      <c r="A3732" s="2"/>
      <c r="F3732" s="3"/>
      <c r="G3732" s="3"/>
      <c r="N3732" s="3"/>
      <c r="Q3732" s="3"/>
      <c r="R3732" s="3"/>
      <c r="S3732" s="3"/>
      <c r="V3732" s="3"/>
      <c r="W3732" s="3"/>
      <c r="X3732" s="3"/>
      <c r="Y3732" s="3"/>
      <c r="Z3732" s="3"/>
      <c r="AA3732" s="3"/>
      <c r="AB3732" s="3"/>
    </row>
    <row r="3733" spans="1:28" x14ac:dyDescent="0.3">
      <c r="A3733" s="2"/>
      <c r="F3733" s="3"/>
      <c r="G3733" s="3"/>
      <c r="N3733" s="3"/>
      <c r="Q3733" s="3"/>
      <c r="R3733" s="3"/>
      <c r="S3733" s="3"/>
      <c r="V3733" s="3"/>
      <c r="W3733" s="3"/>
      <c r="X3733" s="3"/>
      <c r="Y3733" s="3"/>
      <c r="Z3733" s="3"/>
      <c r="AA3733" s="3"/>
      <c r="AB3733" s="3"/>
    </row>
    <row r="3734" spans="1:28" x14ac:dyDescent="0.3">
      <c r="A3734" s="2"/>
      <c r="F3734" s="3"/>
      <c r="G3734" s="3"/>
      <c r="N3734" s="3"/>
      <c r="Q3734" s="3"/>
      <c r="R3734" s="3"/>
      <c r="S3734" s="3"/>
      <c r="V3734" s="3"/>
      <c r="W3734" s="3"/>
      <c r="X3734" s="3"/>
      <c r="Y3734" s="3"/>
      <c r="Z3734" s="3"/>
      <c r="AA3734" s="3"/>
      <c r="AB3734" s="3"/>
    </row>
    <row r="3735" spans="1:28" x14ac:dyDescent="0.3">
      <c r="A3735" s="2"/>
      <c r="F3735" s="3"/>
      <c r="G3735" s="3"/>
      <c r="N3735" s="3"/>
      <c r="Q3735" s="3"/>
      <c r="R3735" s="3"/>
      <c r="S3735" s="3"/>
      <c r="V3735" s="3"/>
      <c r="W3735" s="3"/>
      <c r="X3735" s="3"/>
      <c r="Y3735" s="3"/>
      <c r="Z3735" s="3"/>
      <c r="AA3735" s="3"/>
      <c r="AB3735" s="3"/>
    </row>
    <row r="3736" spans="1:28" x14ac:dyDescent="0.3">
      <c r="A3736" s="2"/>
      <c r="F3736" s="3"/>
      <c r="G3736" s="3"/>
      <c r="N3736" s="3"/>
      <c r="Q3736" s="3"/>
      <c r="R3736" s="3"/>
      <c r="S3736" s="3"/>
      <c r="V3736" s="3"/>
      <c r="W3736" s="3"/>
      <c r="X3736" s="3"/>
      <c r="Y3736" s="3"/>
      <c r="Z3736" s="3"/>
      <c r="AA3736" s="3"/>
      <c r="AB3736" s="3"/>
    </row>
    <row r="3737" spans="1:28" x14ac:dyDescent="0.3">
      <c r="A3737" s="2"/>
      <c r="F3737" s="3"/>
      <c r="G3737" s="3"/>
      <c r="N3737" s="3"/>
      <c r="Q3737" s="3"/>
      <c r="R3737" s="3"/>
      <c r="S3737" s="3"/>
      <c r="V3737" s="3"/>
      <c r="W3737" s="3"/>
      <c r="X3737" s="3"/>
      <c r="Y3737" s="3"/>
      <c r="Z3737" s="3"/>
      <c r="AA3737" s="3"/>
      <c r="AB3737" s="3"/>
    </row>
    <row r="3738" spans="1:28" x14ac:dyDescent="0.3">
      <c r="A3738" s="2"/>
      <c r="F3738" s="3"/>
      <c r="G3738" s="3"/>
      <c r="N3738" s="3"/>
      <c r="Q3738" s="3"/>
      <c r="R3738" s="3"/>
      <c r="S3738" s="3"/>
      <c r="V3738" s="3"/>
      <c r="W3738" s="3"/>
      <c r="X3738" s="3"/>
      <c r="Y3738" s="3"/>
      <c r="Z3738" s="3"/>
      <c r="AA3738" s="3"/>
      <c r="AB3738" s="3"/>
    </row>
    <row r="3739" spans="1:28" x14ac:dyDescent="0.3">
      <c r="A3739" s="2"/>
      <c r="F3739" s="3"/>
      <c r="G3739" s="3"/>
      <c r="N3739" s="3"/>
      <c r="Q3739" s="3"/>
      <c r="R3739" s="3"/>
      <c r="S3739" s="3"/>
      <c r="V3739" s="3"/>
      <c r="W3739" s="3"/>
      <c r="X3739" s="3"/>
      <c r="Y3739" s="3"/>
      <c r="Z3739" s="3"/>
      <c r="AA3739" s="3"/>
      <c r="AB3739" s="3"/>
    </row>
    <row r="3740" spans="1:28" x14ac:dyDescent="0.3">
      <c r="A3740" s="2"/>
      <c r="F3740" s="3"/>
      <c r="G3740" s="3"/>
      <c r="N3740" s="3"/>
      <c r="Q3740" s="3"/>
      <c r="R3740" s="3"/>
      <c r="S3740" s="3"/>
      <c r="V3740" s="3"/>
      <c r="W3740" s="3"/>
      <c r="X3740" s="3"/>
      <c r="Y3740" s="3"/>
      <c r="Z3740" s="3"/>
      <c r="AA3740" s="3"/>
      <c r="AB3740" s="3"/>
    </row>
    <row r="3741" spans="1:28" x14ac:dyDescent="0.3">
      <c r="A3741" s="2"/>
      <c r="F3741" s="3"/>
      <c r="G3741" s="3"/>
      <c r="N3741" s="3"/>
      <c r="Q3741" s="3"/>
      <c r="R3741" s="3"/>
      <c r="S3741" s="3"/>
      <c r="V3741" s="3"/>
      <c r="W3741" s="3"/>
      <c r="X3741" s="3"/>
      <c r="Y3741" s="3"/>
      <c r="Z3741" s="3"/>
      <c r="AA3741" s="3"/>
      <c r="AB3741" s="3"/>
    </row>
    <row r="3742" spans="1:28" x14ac:dyDescent="0.3">
      <c r="A3742" s="2"/>
      <c r="F3742" s="3"/>
      <c r="G3742" s="3"/>
      <c r="N3742" s="3"/>
      <c r="Q3742" s="3"/>
      <c r="R3742" s="3"/>
      <c r="S3742" s="3"/>
      <c r="V3742" s="3"/>
      <c r="W3742" s="3"/>
      <c r="X3742" s="3"/>
      <c r="Y3742" s="3"/>
      <c r="Z3742" s="3"/>
      <c r="AA3742" s="3"/>
      <c r="AB3742" s="3"/>
    </row>
    <row r="3743" spans="1:28" x14ac:dyDescent="0.3">
      <c r="A3743" s="2"/>
      <c r="F3743" s="3"/>
      <c r="G3743" s="3"/>
      <c r="N3743" s="3"/>
      <c r="Q3743" s="3"/>
      <c r="R3743" s="3"/>
      <c r="S3743" s="3"/>
      <c r="V3743" s="3"/>
      <c r="W3743" s="3"/>
      <c r="X3743" s="3"/>
      <c r="Y3743" s="3"/>
      <c r="Z3743" s="3"/>
      <c r="AA3743" s="3"/>
      <c r="AB3743" s="3"/>
    </row>
    <row r="3744" spans="1:28" x14ac:dyDescent="0.3">
      <c r="A3744" s="2"/>
      <c r="F3744" s="3"/>
      <c r="G3744" s="3"/>
      <c r="N3744" s="3"/>
      <c r="Q3744" s="3"/>
      <c r="R3744" s="3"/>
      <c r="S3744" s="3"/>
      <c r="V3744" s="3"/>
      <c r="W3744" s="3"/>
      <c r="X3744" s="3"/>
      <c r="Y3744" s="3"/>
      <c r="Z3744" s="3"/>
      <c r="AA3744" s="3"/>
      <c r="AB3744" s="3"/>
    </row>
    <row r="3745" spans="1:28" x14ac:dyDescent="0.3">
      <c r="A3745" s="2"/>
      <c r="F3745" s="3"/>
      <c r="G3745" s="3"/>
      <c r="N3745" s="3"/>
      <c r="Q3745" s="3"/>
      <c r="R3745" s="3"/>
      <c r="S3745" s="3"/>
      <c r="V3745" s="3"/>
      <c r="W3745" s="3"/>
      <c r="X3745" s="3"/>
      <c r="Y3745" s="3"/>
      <c r="Z3745" s="3"/>
      <c r="AA3745" s="3"/>
      <c r="AB3745" s="3"/>
    </row>
    <row r="3746" spans="1:28" x14ac:dyDescent="0.3">
      <c r="A3746" s="2"/>
      <c r="F3746" s="3"/>
      <c r="G3746" s="3"/>
      <c r="N3746" s="3"/>
      <c r="Q3746" s="3"/>
      <c r="R3746" s="3"/>
      <c r="S3746" s="3"/>
      <c r="V3746" s="3"/>
      <c r="W3746" s="3"/>
      <c r="X3746" s="3"/>
      <c r="Y3746" s="3"/>
      <c r="Z3746" s="3"/>
      <c r="AA3746" s="3"/>
      <c r="AB3746" s="3"/>
    </row>
    <row r="3747" spans="1:28" x14ac:dyDescent="0.3">
      <c r="A3747" s="2"/>
      <c r="F3747" s="3"/>
      <c r="G3747" s="3"/>
      <c r="N3747" s="3"/>
      <c r="Q3747" s="3"/>
      <c r="R3747" s="3"/>
      <c r="S3747" s="3"/>
      <c r="V3747" s="3"/>
      <c r="W3747" s="3"/>
      <c r="X3747" s="3"/>
      <c r="Y3747" s="3"/>
      <c r="Z3747" s="3"/>
      <c r="AA3747" s="3"/>
      <c r="AB3747" s="3"/>
    </row>
    <row r="3748" spans="1:28" x14ac:dyDescent="0.3">
      <c r="A3748" s="2"/>
      <c r="F3748" s="3"/>
      <c r="G3748" s="3"/>
      <c r="N3748" s="3"/>
      <c r="Q3748" s="3"/>
      <c r="R3748" s="3"/>
      <c r="S3748" s="3"/>
      <c r="V3748" s="3"/>
      <c r="W3748" s="3"/>
      <c r="X3748" s="3"/>
      <c r="Y3748" s="3"/>
      <c r="Z3748" s="3"/>
      <c r="AA3748" s="3"/>
      <c r="AB3748" s="3"/>
    </row>
    <row r="3749" spans="1:28" x14ac:dyDescent="0.3">
      <c r="A3749" s="2"/>
      <c r="F3749" s="3"/>
      <c r="G3749" s="3"/>
      <c r="N3749" s="3"/>
      <c r="Q3749" s="3"/>
      <c r="R3749" s="3"/>
      <c r="S3749" s="3"/>
      <c r="V3749" s="3"/>
      <c r="W3749" s="3"/>
      <c r="X3749" s="3"/>
      <c r="Y3749" s="3"/>
      <c r="Z3749" s="3"/>
      <c r="AA3749" s="3"/>
      <c r="AB3749" s="3"/>
    </row>
    <row r="3750" spans="1:28" x14ac:dyDescent="0.3">
      <c r="A3750" s="2"/>
      <c r="F3750" s="3"/>
      <c r="G3750" s="3"/>
      <c r="N3750" s="3"/>
      <c r="Q3750" s="3"/>
      <c r="R3750" s="3"/>
      <c r="S3750" s="3"/>
      <c r="V3750" s="3"/>
      <c r="W3750" s="3"/>
      <c r="X3750" s="3"/>
      <c r="Y3750" s="3"/>
      <c r="Z3750" s="3"/>
      <c r="AA3750" s="3"/>
      <c r="AB3750" s="3"/>
    </row>
    <row r="3751" spans="1:28" x14ac:dyDescent="0.3">
      <c r="A3751" s="2"/>
      <c r="F3751" s="3"/>
      <c r="G3751" s="3"/>
      <c r="N3751" s="3"/>
      <c r="Q3751" s="3"/>
      <c r="R3751" s="3"/>
      <c r="S3751" s="3"/>
      <c r="V3751" s="3"/>
      <c r="W3751" s="3"/>
      <c r="X3751" s="3"/>
      <c r="Y3751" s="3"/>
      <c r="Z3751" s="3"/>
      <c r="AA3751" s="3"/>
      <c r="AB3751" s="3"/>
    </row>
    <row r="3752" spans="1:28" x14ac:dyDescent="0.3">
      <c r="A3752" s="2"/>
      <c r="F3752" s="3"/>
      <c r="G3752" s="3"/>
      <c r="N3752" s="3"/>
      <c r="Q3752" s="3"/>
      <c r="R3752" s="3"/>
      <c r="S3752" s="3"/>
      <c r="V3752" s="3"/>
      <c r="W3752" s="3"/>
      <c r="X3752" s="3"/>
      <c r="Y3752" s="3"/>
      <c r="Z3752" s="3"/>
      <c r="AA3752" s="3"/>
      <c r="AB3752" s="3"/>
    </row>
    <row r="3753" spans="1:28" x14ac:dyDescent="0.3">
      <c r="A3753" s="2"/>
      <c r="F3753" s="3"/>
      <c r="G3753" s="3"/>
      <c r="N3753" s="3"/>
      <c r="Q3753" s="3"/>
      <c r="R3753" s="3"/>
      <c r="S3753" s="3"/>
      <c r="V3753" s="3"/>
      <c r="W3753" s="3"/>
      <c r="X3753" s="3"/>
      <c r="Y3753" s="3"/>
      <c r="Z3753" s="3"/>
      <c r="AA3753" s="3"/>
      <c r="AB3753" s="3"/>
    </row>
    <row r="3754" spans="1:28" x14ac:dyDescent="0.3">
      <c r="A3754" s="2"/>
      <c r="F3754" s="3"/>
      <c r="G3754" s="3"/>
      <c r="N3754" s="3"/>
      <c r="Q3754" s="3"/>
      <c r="R3754" s="3"/>
      <c r="S3754" s="3"/>
      <c r="V3754" s="3"/>
      <c r="W3754" s="3"/>
      <c r="X3754" s="3"/>
      <c r="Y3754" s="3"/>
      <c r="Z3754" s="3"/>
      <c r="AA3754" s="3"/>
      <c r="AB3754" s="3"/>
    </row>
    <row r="3755" spans="1:28" x14ac:dyDescent="0.3">
      <c r="A3755" s="2"/>
      <c r="F3755" s="3"/>
      <c r="G3755" s="3"/>
      <c r="N3755" s="3"/>
      <c r="Q3755" s="3"/>
      <c r="R3755" s="3"/>
      <c r="S3755" s="3"/>
      <c r="V3755" s="3"/>
      <c r="W3755" s="3"/>
      <c r="X3755" s="3"/>
      <c r="Y3755" s="3"/>
      <c r="Z3755" s="3"/>
      <c r="AA3755" s="3"/>
      <c r="AB3755" s="3"/>
    </row>
    <row r="3756" spans="1:28" x14ac:dyDescent="0.3">
      <c r="A3756" s="2"/>
      <c r="F3756" s="3"/>
      <c r="G3756" s="3"/>
      <c r="N3756" s="3"/>
      <c r="Q3756" s="3"/>
      <c r="R3756" s="3"/>
      <c r="S3756" s="3"/>
      <c r="V3756" s="3"/>
      <c r="W3756" s="3"/>
      <c r="X3756" s="3"/>
      <c r="Y3756" s="3"/>
      <c r="Z3756" s="3"/>
      <c r="AA3756" s="3"/>
      <c r="AB3756" s="3"/>
    </row>
    <row r="3757" spans="1:28" x14ac:dyDescent="0.3">
      <c r="A3757" s="2"/>
      <c r="F3757" s="3"/>
      <c r="G3757" s="3"/>
      <c r="N3757" s="3"/>
      <c r="Q3757" s="3"/>
      <c r="R3757" s="3"/>
      <c r="S3757" s="3"/>
      <c r="V3757" s="3"/>
      <c r="W3757" s="3"/>
      <c r="X3757" s="3"/>
      <c r="Y3757" s="3"/>
      <c r="Z3757" s="3"/>
      <c r="AA3757" s="3"/>
      <c r="AB3757" s="3"/>
    </row>
    <row r="3758" spans="1:28" x14ac:dyDescent="0.3">
      <c r="A3758" s="2"/>
      <c r="F3758" s="3"/>
      <c r="G3758" s="3"/>
      <c r="N3758" s="3"/>
      <c r="Q3758" s="3"/>
      <c r="R3758" s="3"/>
      <c r="S3758" s="3"/>
      <c r="V3758" s="3"/>
      <c r="W3758" s="3"/>
      <c r="X3758" s="3"/>
      <c r="Y3758" s="3"/>
      <c r="Z3758" s="3"/>
      <c r="AA3758" s="3"/>
      <c r="AB3758" s="3"/>
    </row>
    <row r="3759" spans="1:28" x14ac:dyDescent="0.3">
      <c r="A3759" s="2"/>
      <c r="F3759" s="3"/>
      <c r="G3759" s="3"/>
      <c r="N3759" s="3"/>
      <c r="Q3759" s="3"/>
      <c r="R3759" s="3"/>
      <c r="S3759" s="3"/>
      <c r="V3759" s="3"/>
      <c r="W3759" s="3"/>
      <c r="X3759" s="3"/>
      <c r="Y3759" s="3"/>
      <c r="Z3759" s="3"/>
      <c r="AA3759" s="3"/>
      <c r="AB3759" s="3"/>
    </row>
    <row r="3760" spans="1:28" x14ac:dyDescent="0.3">
      <c r="A3760" s="2"/>
      <c r="F3760" s="3"/>
      <c r="G3760" s="3"/>
      <c r="N3760" s="3"/>
      <c r="Q3760" s="3"/>
      <c r="R3760" s="3"/>
      <c r="S3760" s="3"/>
      <c r="V3760" s="3"/>
      <c r="W3760" s="3"/>
      <c r="X3760" s="3"/>
      <c r="Y3760" s="3"/>
      <c r="Z3760" s="3"/>
      <c r="AA3760" s="3"/>
      <c r="AB3760" s="3"/>
    </row>
    <row r="3761" spans="1:28" x14ac:dyDescent="0.3">
      <c r="A3761" s="2"/>
      <c r="F3761" s="3"/>
      <c r="G3761" s="3"/>
      <c r="N3761" s="3"/>
      <c r="Q3761" s="3"/>
      <c r="R3761" s="3"/>
      <c r="S3761" s="3"/>
      <c r="V3761" s="3"/>
      <c r="W3761" s="3"/>
      <c r="X3761" s="3"/>
      <c r="Y3761" s="3"/>
      <c r="Z3761" s="3"/>
      <c r="AA3761" s="3"/>
      <c r="AB3761" s="3"/>
    </row>
    <row r="3762" spans="1:28" x14ac:dyDescent="0.3">
      <c r="A3762" s="2"/>
      <c r="F3762" s="3"/>
      <c r="G3762" s="3"/>
      <c r="N3762" s="3"/>
      <c r="Q3762" s="3"/>
      <c r="R3762" s="3"/>
      <c r="S3762" s="3"/>
      <c r="V3762" s="3"/>
      <c r="W3762" s="3"/>
      <c r="X3762" s="3"/>
      <c r="Y3762" s="3"/>
      <c r="Z3762" s="3"/>
      <c r="AA3762" s="3"/>
      <c r="AB3762" s="3"/>
    </row>
    <row r="3763" spans="1:28" x14ac:dyDescent="0.3">
      <c r="A3763" s="2"/>
      <c r="F3763" s="3"/>
      <c r="G3763" s="3"/>
      <c r="N3763" s="3"/>
      <c r="Q3763" s="3"/>
      <c r="R3763" s="3"/>
      <c r="S3763" s="3"/>
      <c r="V3763" s="3"/>
      <c r="W3763" s="3"/>
      <c r="X3763" s="3"/>
      <c r="Y3763" s="3"/>
      <c r="Z3763" s="3"/>
      <c r="AA3763" s="3"/>
      <c r="AB3763" s="3"/>
    </row>
    <row r="3764" spans="1:28" x14ac:dyDescent="0.3">
      <c r="A3764" s="2"/>
      <c r="F3764" s="3"/>
      <c r="G3764" s="3"/>
      <c r="N3764" s="3"/>
      <c r="Q3764" s="3"/>
      <c r="R3764" s="3"/>
      <c r="S3764" s="3"/>
      <c r="V3764" s="3"/>
      <c r="W3764" s="3"/>
      <c r="X3764" s="3"/>
      <c r="Y3764" s="3"/>
      <c r="Z3764" s="3"/>
      <c r="AA3764" s="3"/>
      <c r="AB3764" s="3"/>
    </row>
    <row r="3765" spans="1:28" x14ac:dyDescent="0.3">
      <c r="A3765" s="2"/>
      <c r="F3765" s="3"/>
      <c r="G3765" s="3"/>
      <c r="N3765" s="3"/>
      <c r="Q3765" s="3"/>
      <c r="R3765" s="3"/>
      <c r="S3765" s="3"/>
      <c r="V3765" s="3"/>
      <c r="W3765" s="3"/>
      <c r="X3765" s="3"/>
      <c r="Y3765" s="3"/>
      <c r="Z3765" s="3"/>
      <c r="AA3765" s="3"/>
      <c r="AB3765" s="3"/>
    </row>
    <row r="3766" spans="1:28" x14ac:dyDescent="0.3">
      <c r="A3766" s="2"/>
      <c r="F3766" s="3"/>
      <c r="G3766" s="3"/>
      <c r="N3766" s="3"/>
      <c r="Q3766" s="3"/>
      <c r="R3766" s="3"/>
      <c r="S3766" s="3"/>
      <c r="V3766" s="3"/>
      <c r="W3766" s="3"/>
      <c r="X3766" s="3"/>
      <c r="Y3766" s="3"/>
      <c r="Z3766" s="3"/>
      <c r="AA3766" s="3"/>
      <c r="AB3766" s="3"/>
    </row>
    <row r="3767" spans="1:28" x14ac:dyDescent="0.3">
      <c r="A3767" s="2"/>
      <c r="F3767" s="3"/>
      <c r="G3767" s="3"/>
      <c r="N3767" s="3"/>
      <c r="Q3767" s="3"/>
      <c r="R3767" s="3"/>
      <c r="S3767" s="3"/>
      <c r="V3767" s="3"/>
      <c r="W3767" s="3"/>
      <c r="X3767" s="3"/>
      <c r="Y3767" s="3"/>
      <c r="Z3767" s="3"/>
      <c r="AA3767" s="3"/>
      <c r="AB3767" s="3"/>
    </row>
    <row r="3768" spans="1:28" x14ac:dyDescent="0.3">
      <c r="A3768" s="2"/>
      <c r="F3768" s="3"/>
      <c r="G3768" s="3"/>
      <c r="N3768" s="3"/>
      <c r="Q3768" s="3"/>
      <c r="R3768" s="3"/>
      <c r="S3768" s="3"/>
      <c r="V3768" s="3"/>
      <c r="W3768" s="3"/>
      <c r="X3768" s="3"/>
      <c r="Y3768" s="3"/>
      <c r="Z3768" s="3"/>
      <c r="AA3768" s="3"/>
      <c r="AB3768" s="3"/>
    </row>
    <row r="3769" spans="1:28" x14ac:dyDescent="0.3">
      <c r="A3769" s="2"/>
      <c r="F3769" s="3"/>
      <c r="G3769" s="3"/>
      <c r="N3769" s="3"/>
      <c r="Q3769" s="3"/>
      <c r="R3769" s="3"/>
      <c r="S3769" s="3"/>
      <c r="V3769" s="3"/>
      <c r="W3769" s="3"/>
      <c r="X3769" s="3"/>
      <c r="Y3769" s="3"/>
      <c r="Z3769" s="3"/>
      <c r="AA3769" s="3"/>
      <c r="AB3769" s="3"/>
    </row>
    <row r="3770" spans="1:28" x14ac:dyDescent="0.3">
      <c r="A3770" s="2"/>
      <c r="F3770" s="3"/>
      <c r="G3770" s="3"/>
      <c r="N3770" s="3"/>
      <c r="Q3770" s="3"/>
      <c r="R3770" s="3"/>
      <c r="S3770" s="3"/>
      <c r="V3770" s="3"/>
      <c r="W3770" s="3"/>
      <c r="X3770" s="3"/>
      <c r="Y3770" s="3"/>
      <c r="Z3770" s="3"/>
      <c r="AA3770" s="3"/>
      <c r="AB3770" s="3"/>
    </row>
    <row r="3771" spans="1:28" x14ac:dyDescent="0.3">
      <c r="A3771" s="2"/>
      <c r="F3771" s="3"/>
      <c r="G3771" s="3"/>
      <c r="N3771" s="3"/>
      <c r="Q3771" s="3"/>
      <c r="R3771" s="3"/>
      <c r="S3771" s="3"/>
      <c r="V3771" s="3"/>
      <c r="W3771" s="3"/>
      <c r="X3771" s="3"/>
      <c r="Y3771" s="3"/>
      <c r="Z3771" s="3"/>
      <c r="AA3771" s="3"/>
      <c r="AB3771" s="3"/>
    </row>
    <row r="3772" spans="1:28" x14ac:dyDescent="0.3">
      <c r="A3772" s="2"/>
      <c r="F3772" s="3"/>
      <c r="G3772" s="3"/>
      <c r="N3772" s="3"/>
      <c r="Q3772" s="3"/>
      <c r="R3772" s="3"/>
      <c r="S3772" s="3"/>
      <c r="V3772" s="3"/>
      <c r="W3772" s="3"/>
      <c r="X3772" s="3"/>
      <c r="Y3772" s="3"/>
      <c r="Z3772" s="3"/>
      <c r="AA3772" s="3"/>
      <c r="AB3772" s="3"/>
    </row>
    <row r="3773" spans="1:28" x14ac:dyDescent="0.3">
      <c r="A3773" s="2"/>
      <c r="F3773" s="3"/>
      <c r="G3773" s="3"/>
      <c r="N3773" s="3"/>
      <c r="Q3773" s="3"/>
      <c r="R3773" s="3"/>
      <c r="S3773" s="3"/>
      <c r="V3773" s="3"/>
      <c r="W3773" s="3"/>
      <c r="X3773" s="3"/>
      <c r="Y3773" s="3"/>
      <c r="Z3773" s="3"/>
      <c r="AA3773" s="3"/>
      <c r="AB3773" s="3"/>
    </row>
    <row r="3774" spans="1:28" x14ac:dyDescent="0.3">
      <c r="A3774" s="2"/>
      <c r="F3774" s="3"/>
      <c r="G3774" s="3"/>
      <c r="N3774" s="3"/>
      <c r="Q3774" s="3"/>
      <c r="R3774" s="3"/>
      <c r="S3774" s="3"/>
      <c r="V3774" s="3"/>
      <c r="W3774" s="3"/>
      <c r="X3774" s="3"/>
      <c r="Y3774" s="3"/>
      <c r="Z3774" s="3"/>
      <c r="AA3774" s="3"/>
      <c r="AB3774" s="3"/>
    </row>
    <row r="3775" spans="1:28" x14ac:dyDescent="0.3">
      <c r="A3775" s="2"/>
      <c r="F3775" s="3"/>
      <c r="G3775" s="3"/>
      <c r="N3775" s="3"/>
      <c r="Q3775" s="3"/>
      <c r="R3775" s="3"/>
      <c r="S3775" s="3"/>
      <c r="V3775" s="3"/>
      <c r="W3775" s="3"/>
      <c r="X3775" s="3"/>
      <c r="Y3775" s="3"/>
      <c r="Z3775" s="3"/>
      <c r="AA3775" s="3"/>
      <c r="AB3775" s="3"/>
    </row>
    <row r="3776" spans="1:28" x14ac:dyDescent="0.3">
      <c r="A3776" s="2"/>
      <c r="F3776" s="3"/>
      <c r="G3776" s="3"/>
      <c r="N3776" s="3"/>
      <c r="Q3776" s="3"/>
      <c r="R3776" s="3"/>
      <c r="S3776" s="3"/>
      <c r="V3776" s="3"/>
      <c r="W3776" s="3"/>
      <c r="X3776" s="3"/>
      <c r="Y3776" s="3"/>
      <c r="Z3776" s="3"/>
      <c r="AA3776" s="3"/>
      <c r="AB3776" s="3"/>
    </row>
    <row r="3777" spans="1:28" x14ac:dyDescent="0.3">
      <c r="A3777" s="2"/>
      <c r="F3777" s="3"/>
      <c r="G3777" s="3"/>
      <c r="N3777" s="3"/>
      <c r="Q3777" s="3"/>
      <c r="R3777" s="3"/>
      <c r="S3777" s="3"/>
      <c r="V3777" s="3"/>
      <c r="W3777" s="3"/>
      <c r="X3777" s="3"/>
      <c r="Y3777" s="3"/>
      <c r="Z3777" s="3"/>
      <c r="AA3777" s="3"/>
      <c r="AB3777" s="3"/>
    </row>
    <row r="3778" spans="1:28" x14ac:dyDescent="0.3">
      <c r="A3778" s="2"/>
      <c r="F3778" s="3"/>
      <c r="G3778" s="3"/>
      <c r="N3778" s="3"/>
      <c r="Q3778" s="3"/>
      <c r="R3778" s="3"/>
      <c r="S3778" s="3"/>
      <c r="V3778" s="3"/>
      <c r="W3778" s="3"/>
      <c r="X3778" s="3"/>
      <c r="Y3778" s="3"/>
      <c r="Z3778" s="3"/>
      <c r="AA3778" s="3"/>
      <c r="AB3778" s="3"/>
    </row>
    <row r="3779" spans="1:28" x14ac:dyDescent="0.3">
      <c r="A3779" s="2"/>
      <c r="F3779" s="3"/>
      <c r="G3779" s="3"/>
      <c r="N3779" s="3"/>
      <c r="Q3779" s="3"/>
      <c r="R3779" s="3"/>
      <c r="S3779" s="3"/>
      <c r="V3779" s="3"/>
      <c r="W3779" s="3"/>
      <c r="X3779" s="3"/>
      <c r="Y3779" s="3"/>
      <c r="Z3779" s="3"/>
      <c r="AA3779" s="3"/>
      <c r="AB3779" s="3"/>
    </row>
    <row r="3780" spans="1:28" x14ac:dyDescent="0.3">
      <c r="A3780" s="2"/>
      <c r="F3780" s="3"/>
      <c r="G3780" s="3"/>
      <c r="N3780" s="3"/>
      <c r="Q3780" s="3"/>
      <c r="R3780" s="3"/>
      <c r="S3780" s="3"/>
      <c r="V3780" s="3"/>
      <c r="W3780" s="3"/>
      <c r="X3780" s="3"/>
      <c r="Y3780" s="3"/>
      <c r="Z3780" s="3"/>
      <c r="AA3780" s="3"/>
      <c r="AB3780" s="3"/>
    </row>
    <row r="3781" spans="1:28" x14ac:dyDescent="0.3">
      <c r="A3781" s="2"/>
      <c r="F3781" s="3"/>
      <c r="G3781" s="3"/>
      <c r="N3781" s="3"/>
      <c r="Q3781" s="3"/>
      <c r="R3781" s="3"/>
      <c r="S3781" s="3"/>
      <c r="V3781" s="3"/>
      <c r="W3781" s="3"/>
      <c r="X3781" s="3"/>
      <c r="Y3781" s="3"/>
      <c r="Z3781" s="3"/>
      <c r="AA3781" s="3"/>
      <c r="AB3781" s="3"/>
    </row>
    <row r="3782" spans="1:28" x14ac:dyDescent="0.3">
      <c r="A3782" s="2"/>
      <c r="F3782" s="3"/>
      <c r="G3782" s="3"/>
      <c r="N3782" s="3"/>
      <c r="Q3782" s="3"/>
      <c r="R3782" s="3"/>
      <c r="S3782" s="3"/>
      <c r="V3782" s="3"/>
      <c r="W3782" s="3"/>
      <c r="X3782" s="3"/>
      <c r="Y3782" s="3"/>
      <c r="Z3782" s="3"/>
      <c r="AA3782" s="3"/>
      <c r="AB3782" s="3"/>
    </row>
    <row r="3783" spans="1:28" x14ac:dyDescent="0.3">
      <c r="A3783" s="2"/>
      <c r="F3783" s="3"/>
      <c r="G3783" s="3"/>
      <c r="N3783" s="3"/>
      <c r="Q3783" s="3"/>
      <c r="R3783" s="3"/>
      <c r="S3783" s="3"/>
      <c r="V3783" s="3"/>
      <c r="W3783" s="3"/>
      <c r="X3783" s="3"/>
      <c r="Y3783" s="3"/>
      <c r="Z3783" s="3"/>
      <c r="AA3783" s="3"/>
      <c r="AB3783" s="3"/>
    </row>
    <row r="3784" spans="1:28" x14ac:dyDescent="0.3">
      <c r="A3784" s="2"/>
      <c r="F3784" s="3"/>
      <c r="G3784" s="3"/>
      <c r="N3784" s="3"/>
      <c r="Q3784" s="3"/>
      <c r="R3784" s="3"/>
      <c r="S3784" s="3"/>
      <c r="V3784" s="3"/>
      <c r="W3784" s="3"/>
      <c r="X3784" s="3"/>
      <c r="Y3784" s="3"/>
      <c r="Z3784" s="3"/>
      <c r="AA3784" s="3"/>
      <c r="AB3784" s="3"/>
    </row>
    <row r="3785" spans="1:28" x14ac:dyDescent="0.3">
      <c r="A3785" s="2"/>
      <c r="F3785" s="3"/>
      <c r="G3785" s="3"/>
      <c r="N3785" s="3"/>
      <c r="Q3785" s="3"/>
      <c r="R3785" s="3"/>
      <c r="S3785" s="3"/>
      <c r="V3785" s="3"/>
      <c r="W3785" s="3"/>
      <c r="X3785" s="3"/>
      <c r="Y3785" s="3"/>
      <c r="Z3785" s="3"/>
      <c r="AA3785" s="3"/>
      <c r="AB3785" s="3"/>
    </row>
    <row r="3786" spans="1:28" x14ac:dyDescent="0.3">
      <c r="A3786" s="2"/>
      <c r="F3786" s="3"/>
      <c r="G3786" s="3"/>
      <c r="N3786" s="3"/>
      <c r="Q3786" s="3"/>
      <c r="R3786" s="3"/>
      <c r="S3786" s="3"/>
      <c r="V3786" s="3"/>
      <c r="W3786" s="3"/>
      <c r="X3786" s="3"/>
      <c r="Y3786" s="3"/>
      <c r="Z3786" s="3"/>
      <c r="AA3786" s="3"/>
      <c r="AB3786" s="3"/>
    </row>
    <row r="3787" spans="1:28" x14ac:dyDescent="0.3">
      <c r="A3787" s="2"/>
      <c r="F3787" s="3"/>
      <c r="G3787" s="3"/>
      <c r="N3787" s="3"/>
      <c r="Q3787" s="3"/>
      <c r="R3787" s="3"/>
      <c r="S3787" s="3"/>
      <c r="V3787" s="3"/>
      <c r="W3787" s="3"/>
      <c r="X3787" s="3"/>
      <c r="Y3787" s="3"/>
      <c r="Z3787" s="3"/>
      <c r="AA3787" s="3"/>
      <c r="AB3787" s="3"/>
    </row>
    <row r="3788" spans="1:28" x14ac:dyDescent="0.3">
      <c r="A3788" s="2"/>
      <c r="F3788" s="3"/>
      <c r="G3788" s="3"/>
      <c r="N3788" s="3"/>
      <c r="Q3788" s="3"/>
      <c r="R3788" s="3"/>
      <c r="S3788" s="3"/>
      <c r="V3788" s="3"/>
      <c r="W3788" s="3"/>
      <c r="X3788" s="3"/>
      <c r="Y3788" s="3"/>
      <c r="Z3788" s="3"/>
      <c r="AA3788" s="3"/>
      <c r="AB3788" s="3"/>
    </row>
    <row r="3789" spans="1:28" x14ac:dyDescent="0.3">
      <c r="A3789" s="2"/>
      <c r="F3789" s="3"/>
      <c r="G3789" s="3"/>
      <c r="N3789" s="3"/>
      <c r="Q3789" s="3"/>
      <c r="R3789" s="3"/>
      <c r="S3789" s="3"/>
      <c r="V3789" s="3"/>
      <c r="W3789" s="3"/>
      <c r="X3789" s="3"/>
      <c r="Y3789" s="3"/>
      <c r="Z3789" s="3"/>
      <c r="AA3789" s="3"/>
      <c r="AB3789" s="3"/>
    </row>
    <row r="3790" spans="1:28" x14ac:dyDescent="0.3">
      <c r="A3790" s="2"/>
      <c r="F3790" s="3"/>
      <c r="G3790" s="3"/>
      <c r="N3790" s="3"/>
      <c r="Q3790" s="3"/>
      <c r="R3790" s="3"/>
      <c r="S3790" s="3"/>
      <c r="V3790" s="3"/>
      <c r="W3790" s="3"/>
      <c r="X3790" s="3"/>
      <c r="Y3790" s="3"/>
      <c r="Z3790" s="3"/>
      <c r="AA3790" s="3"/>
      <c r="AB3790" s="3"/>
    </row>
    <row r="3791" spans="1:28" x14ac:dyDescent="0.3">
      <c r="A3791" s="2"/>
      <c r="F3791" s="3"/>
      <c r="G3791" s="3"/>
      <c r="N3791" s="3"/>
      <c r="Q3791" s="3"/>
      <c r="R3791" s="3"/>
      <c r="S3791" s="3"/>
      <c r="V3791" s="3"/>
      <c r="W3791" s="3"/>
      <c r="X3791" s="3"/>
      <c r="Y3791" s="3"/>
      <c r="Z3791" s="3"/>
      <c r="AA3791" s="3"/>
      <c r="AB3791" s="3"/>
    </row>
    <row r="3792" spans="1:28" x14ac:dyDescent="0.3">
      <c r="A3792" s="2"/>
      <c r="F3792" s="3"/>
      <c r="G3792" s="3"/>
      <c r="N3792" s="3"/>
      <c r="Q3792" s="3"/>
      <c r="R3792" s="3"/>
      <c r="S3792" s="3"/>
      <c r="V3792" s="3"/>
      <c r="W3792" s="3"/>
      <c r="X3792" s="3"/>
      <c r="Y3792" s="3"/>
      <c r="Z3792" s="3"/>
      <c r="AA3792" s="3"/>
      <c r="AB3792" s="3"/>
    </row>
    <row r="3793" spans="1:28" x14ac:dyDescent="0.3">
      <c r="A3793" s="2"/>
      <c r="F3793" s="3"/>
      <c r="G3793" s="3"/>
      <c r="N3793" s="3"/>
      <c r="Q3793" s="3"/>
      <c r="R3793" s="3"/>
      <c r="S3793" s="3"/>
      <c r="V3793" s="3"/>
      <c r="W3793" s="3"/>
      <c r="X3793" s="3"/>
      <c r="Y3793" s="3"/>
      <c r="Z3793" s="3"/>
      <c r="AA3793" s="3"/>
      <c r="AB3793" s="3"/>
    </row>
    <row r="3794" spans="1:28" x14ac:dyDescent="0.3">
      <c r="A3794" s="2"/>
      <c r="F3794" s="3"/>
      <c r="G3794" s="3"/>
      <c r="N3794" s="3"/>
      <c r="Q3794" s="3"/>
      <c r="R3794" s="3"/>
      <c r="S3794" s="3"/>
      <c r="V3794" s="3"/>
      <c r="W3794" s="3"/>
      <c r="X3794" s="3"/>
      <c r="Y3794" s="3"/>
      <c r="Z3794" s="3"/>
      <c r="AA3794" s="3"/>
      <c r="AB3794" s="3"/>
    </row>
    <row r="3795" spans="1:28" x14ac:dyDescent="0.3">
      <c r="A3795" s="2"/>
      <c r="F3795" s="3"/>
      <c r="G3795" s="3"/>
      <c r="N3795" s="3"/>
      <c r="Q3795" s="3"/>
      <c r="R3795" s="3"/>
      <c r="S3795" s="3"/>
      <c r="V3795" s="3"/>
      <c r="W3795" s="3"/>
      <c r="X3795" s="3"/>
      <c r="Y3795" s="3"/>
      <c r="Z3795" s="3"/>
      <c r="AA3795" s="3"/>
      <c r="AB3795" s="3"/>
    </row>
    <row r="3796" spans="1:28" x14ac:dyDescent="0.3">
      <c r="A3796" s="2"/>
      <c r="F3796" s="3"/>
      <c r="G3796" s="3"/>
      <c r="N3796" s="3"/>
      <c r="Q3796" s="3"/>
      <c r="R3796" s="3"/>
      <c r="S3796" s="3"/>
      <c r="V3796" s="3"/>
      <c r="W3796" s="3"/>
      <c r="X3796" s="3"/>
      <c r="Y3796" s="3"/>
      <c r="Z3796" s="3"/>
      <c r="AA3796" s="3"/>
      <c r="AB3796" s="3"/>
    </row>
    <row r="3797" spans="1:28" x14ac:dyDescent="0.3">
      <c r="A3797" s="2"/>
      <c r="F3797" s="3"/>
      <c r="G3797" s="3"/>
      <c r="N3797" s="3"/>
      <c r="Q3797" s="3"/>
      <c r="R3797" s="3"/>
      <c r="S3797" s="3"/>
      <c r="V3797" s="3"/>
      <c r="W3797" s="3"/>
      <c r="X3797" s="3"/>
      <c r="Y3797" s="3"/>
      <c r="Z3797" s="3"/>
      <c r="AA3797" s="3"/>
      <c r="AB3797" s="3"/>
    </row>
    <row r="3798" spans="1:28" x14ac:dyDescent="0.3">
      <c r="A3798" s="2"/>
      <c r="F3798" s="3"/>
      <c r="G3798" s="3"/>
      <c r="N3798" s="3"/>
      <c r="Q3798" s="3"/>
      <c r="R3798" s="3"/>
      <c r="S3798" s="3"/>
      <c r="V3798" s="3"/>
      <c r="W3798" s="3"/>
      <c r="X3798" s="3"/>
      <c r="Y3798" s="3"/>
      <c r="Z3798" s="3"/>
      <c r="AA3798" s="3"/>
      <c r="AB3798" s="3"/>
    </row>
    <row r="3799" spans="1:28" x14ac:dyDescent="0.3">
      <c r="A3799" s="2"/>
      <c r="F3799" s="3"/>
      <c r="G3799" s="3"/>
      <c r="N3799" s="3"/>
      <c r="Q3799" s="3"/>
      <c r="R3799" s="3"/>
      <c r="S3799" s="3"/>
      <c r="V3799" s="3"/>
      <c r="W3799" s="3"/>
      <c r="X3799" s="3"/>
      <c r="Y3799" s="3"/>
      <c r="Z3799" s="3"/>
      <c r="AA3799" s="3"/>
      <c r="AB3799" s="3"/>
    </row>
    <row r="3800" spans="1:28" x14ac:dyDescent="0.3">
      <c r="A3800" s="2"/>
      <c r="F3800" s="3"/>
      <c r="G3800" s="3"/>
      <c r="N3800" s="3"/>
      <c r="Q3800" s="3"/>
      <c r="R3800" s="3"/>
      <c r="S3800" s="3"/>
      <c r="V3800" s="3"/>
      <c r="W3800" s="3"/>
      <c r="X3800" s="3"/>
      <c r="Y3800" s="3"/>
      <c r="Z3800" s="3"/>
      <c r="AA3800" s="3"/>
      <c r="AB3800" s="3"/>
    </row>
    <row r="3801" spans="1:28" x14ac:dyDescent="0.3">
      <c r="A3801" s="2"/>
      <c r="F3801" s="3"/>
      <c r="G3801" s="3"/>
      <c r="N3801" s="3"/>
      <c r="Q3801" s="3"/>
      <c r="R3801" s="3"/>
      <c r="S3801" s="3"/>
      <c r="V3801" s="3"/>
      <c r="W3801" s="3"/>
      <c r="X3801" s="3"/>
      <c r="Y3801" s="3"/>
      <c r="Z3801" s="3"/>
      <c r="AA3801" s="3"/>
      <c r="AB3801" s="3"/>
    </row>
    <row r="3802" spans="1:28" x14ac:dyDescent="0.3">
      <c r="A3802" s="2"/>
      <c r="F3802" s="3"/>
      <c r="G3802" s="3"/>
      <c r="N3802" s="3"/>
      <c r="Q3802" s="3"/>
      <c r="R3802" s="3"/>
      <c r="S3802" s="3"/>
      <c r="V3802" s="3"/>
      <c r="W3802" s="3"/>
      <c r="X3802" s="3"/>
      <c r="Y3802" s="3"/>
      <c r="Z3802" s="3"/>
      <c r="AA3802" s="3"/>
      <c r="AB3802" s="3"/>
    </row>
    <row r="3803" spans="1:28" x14ac:dyDescent="0.3">
      <c r="A3803" s="2"/>
      <c r="F3803" s="3"/>
      <c r="G3803" s="3"/>
      <c r="N3803" s="3"/>
      <c r="Q3803" s="3"/>
      <c r="R3803" s="3"/>
      <c r="S3803" s="3"/>
      <c r="V3803" s="3"/>
      <c r="W3803" s="3"/>
      <c r="X3803" s="3"/>
      <c r="Y3803" s="3"/>
      <c r="Z3803" s="3"/>
      <c r="AA3803" s="3"/>
      <c r="AB3803" s="3"/>
    </row>
    <row r="3804" spans="1:28" x14ac:dyDescent="0.3">
      <c r="A3804" s="2"/>
      <c r="F3804" s="3"/>
      <c r="G3804" s="3"/>
      <c r="N3804" s="3"/>
      <c r="Q3804" s="3"/>
      <c r="R3804" s="3"/>
      <c r="S3804" s="3"/>
      <c r="V3804" s="3"/>
      <c r="W3804" s="3"/>
      <c r="X3804" s="3"/>
      <c r="Y3804" s="3"/>
      <c r="Z3804" s="3"/>
      <c r="AA3804" s="3"/>
      <c r="AB3804" s="3"/>
    </row>
    <row r="3805" spans="1:28" x14ac:dyDescent="0.3">
      <c r="A3805" s="2"/>
      <c r="F3805" s="3"/>
      <c r="G3805" s="3"/>
      <c r="N3805" s="3"/>
      <c r="Q3805" s="3"/>
      <c r="R3805" s="3"/>
      <c r="S3805" s="3"/>
      <c r="V3805" s="3"/>
      <c r="W3805" s="3"/>
      <c r="X3805" s="3"/>
      <c r="Y3805" s="3"/>
      <c r="Z3805" s="3"/>
      <c r="AA3805" s="3"/>
      <c r="AB3805" s="3"/>
    </row>
    <row r="3806" spans="1:28" x14ac:dyDescent="0.3">
      <c r="A3806" s="2"/>
      <c r="F3806" s="3"/>
      <c r="G3806" s="3"/>
      <c r="N3806" s="3"/>
      <c r="Q3806" s="3"/>
      <c r="R3806" s="3"/>
      <c r="S3806" s="3"/>
      <c r="V3806" s="3"/>
      <c r="W3806" s="3"/>
      <c r="X3806" s="3"/>
      <c r="Y3806" s="3"/>
      <c r="Z3806" s="3"/>
      <c r="AA3806" s="3"/>
      <c r="AB3806" s="3"/>
    </row>
    <row r="3807" spans="1:28" x14ac:dyDescent="0.3">
      <c r="A3807" s="2"/>
      <c r="F3807" s="3"/>
      <c r="G3807" s="3"/>
      <c r="N3807" s="3"/>
      <c r="Q3807" s="3"/>
      <c r="R3807" s="3"/>
      <c r="S3807" s="3"/>
      <c r="V3807" s="3"/>
      <c r="W3807" s="3"/>
      <c r="X3807" s="3"/>
      <c r="Y3807" s="3"/>
      <c r="Z3807" s="3"/>
      <c r="AA3807" s="3"/>
      <c r="AB3807" s="3"/>
    </row>
    <row r="3808" spans="1:28" x14ac:dyDescent="0.3">
      <c r="A3808" s="2"/>
      <c r="F3808" s="3"/>
      <c r="G3808" s="3"/>
      <c r="N3808" s="3"/>
      <c r="Q3808" s="3"/>
      <c r="R3808" s="3"/>
      <c r="S3808" s="3"/>
      <c r="V3808" s="3"/>
      <c r="W3808" s="3"/>
      <c r="X3808" s="3"/>
      <c r="Y3808" s="3"/>
      <c r="Z3808" s="3"/>
      <c r="AA3808" s="3"/>
      <c r="AB3808" s="3"/>
    </row>
    <row r="3809" spans="1:28" x14ac:dyDescent="0.3">
      <c r="A3809" s="2"/>
      <c r="F3809" s="3"/>
      <c r="G3809" s="3"/>
      <c r="N3809" s="3"/>
      <c r="Q3809" s="3"/>
      <c r="R3809" s="3"/>
      <c r="S3809" s="3"/>
      <c r="V3809" s="3"/>
      <c r="W3809" s="3"/>
      <c r="X3809" s="3"/>
      <c r="Y3809" s="3"/>
      <c r="Z3809" s="3"/>
      <c r="AA3809" s="3"/>
      <c r="AB3809" s="3"/>
    </row>
    <row r="3810" spans="1:28" x14ac:dyDescent="0.3">
      <c r="A3810" s="2"/>
      <c r="F3810" s="3"/>
      <c r="G3810" s="3"/>
      <c r="N3810" s="3"/>
      <c r="Q3810" s="3"/>
      <c r="R3810" s="3"/>
      <c r="S3810" s="3"/>
      <c r="V3810" s="3"/>
      <c r="W3810" s="3"/>
      <c r="X3810" s="3"/>
      <c r="Y3810" s="3"/>
      <c r="Z3810" s="3"/>
      <c r="AA3810" s="3"/>
      <c r="AB3810" s="3"/>
    </row>
    <row r="3811" spans="1:28" x14ac:dyDescent="0.3">
      <c r="A3811" s="2"/>
      <c r="F3811" s="3"/>
      <c r="G3811" s="3"/>
      <c r="N3811" s="3"/>
      <c r="Q3811" s="3"/>
      <c r="R3811" s="3"/>
      <c r="S3811" s="3"/>
      <c r="V3811" s="3"/>
      <c r="W3811" s="3"/>
      <c r="X3811" s="3"/>
      <c r="Y3811" s="3"/>
      <c r="Z3811" s="3"/>
      <c r="AA3811" s="3"/>
      <c r="AB3811" s="3"/>
    </row>
    <row r="3812" spans="1:28" x14ac:dyDescent="0.3">
      <c r="A3812" s="2"/>
      <c r="F3812" s="3"/>
      <c r="G3812" s="3"/>
      <c r="N3812" s="3"/>
      <c r="Q3812" s="3"/>
      <c r="R3812" s="3"/>
      <c r="S3812" s="3"/>
      <c r="V3812" s="3"/>
      <c r="W3812" s="3"/>
      <c r="X3812" s="3"/>
      <c r="Y3812" s="3"/>
      <c r="Z3812" s="3"/>
      <c r="AA3812" s="3"/>
      <c r="AB3812" s="3"/>
    </row>
    <row r="3813" spans="1:28" x14ac:dyDescent="0.3">
      <c r="A3813" s="2"/>
      <c r="F3813" s="3"/>
      <c r="G3813" s="3"/>
      <c r="N3813" s="3"/>
      <c r="Q3813" s="3"/>
      <c r="R3813" s="3"/>
      <c r="S3813" s="3"/>
      <c r="V3813" s="3"/>
      <c r="W3813" s="3"/>
      <c r="X3813" s="3"/>
      <c r="Y3813" s="3"/>
      <c r="Z3813" s="3"/>
      <c r="AA3813" s="3"/>
      <c r="AB3813" s="3"/>
    </row>
    <row r="3814" spans="1:28" x14ac:dyDescent="0.3">
      <c r="A3814" s="2"/>
      <c r="F3814" s="3"/>
      <c r="G3814" s="3"/>
      <c r="N3814" s="3"/>
      <c r="Q3814" s="3"/>
      <c r="R3814" s="3"/>
      <c r="S3814" s="3"/>
      <c r="V3814" s="3"/>
      <c r="W3814" s="3"/>
      <c r="X3814" s="3"/>
      <c r="Y3814" s="3"/>
      <c r="Z3814" s="3"/>
      <c r="AA3814" s="3"/>
      <c r="AB3814" s="3"/>
    </row>
    <row r="3815" spans="1:28" x14ac:dyDescent="0.3">
      <c r="A3815" s="2"/>
      <c r="F3815" s="3"/>
      <c r="G3815" s="3"/>
      <c r="N3815" s="3"/>
      <c r="Q3815" s="3"/>
      <c r="R3815" s="3"/>
      <c r="S3815" s="3"/>
      <c r="V3815" s="3"/>
      <c r="W3815" s="3"/>
      <c r="X3815" s="3"/>
      <c r="Y3815" s="3"/>
      <c r="Z3815" s="3"/>
      <c r="AA3815" s="3"/>
      <c r="AB3815" s="3"/>
    </row>
    <row r="3816" spans="1:28" x14ac:dyDescent="0.3">
      <c r="A3816" s="2"/>
      <c r="F3816" s="3"/>
      <c r="G3816" s="3"/>
      <c r="N3816" s="3"/>
      <c r="Q3816" s="3"/>
      <c r="R3816" s="3"/>
      <c r="S3816" s="3"/>
      <c r="V3816" s="3"/>
      <c r="W3816" s="3"/>
      <c r="X3816" s="3"/>
      <c r="Y3816" s="3"/>
      <c r="Z3816" s="3"/>
      <c r="AA3816" s="3"/>
      <c r="AB3816" s="3"/>
    </row>
    <row r="3817" spans="1:28" x14ac:dyDescent="0.3">
      <c r="A3817" s="2"/>
      <c r="F3817" s="3"/>
      <c r="G3817" s="3"/>
      <c r="N3817" s="3"/>
      <c r="Q3817" s="3"/>
      <c r="R3817" s="3"/>
      <c r="S3817" s="3"/>
      <c r="V3817" s="3"/>
      <c r="W3817" s="3"/>
      <c r="X3817" s="3"/>
      <c r="Y3817" s="3"/>
      <c r="Z3817" s="3"/>
      <c r="AA3817" s="3"/>
      <c r="AB3817" s="3"/>
    </row>
    <row r="3818" spans="1:28" x14ac:dyDescent="0.3">
      <c r="A3818" s="2"/>
      <c r="F3818" s="3"/>
      <c r="G3818" s="3"/>
      <c r="N3818" s="3"/>
      <c r="Q3818" s="3"/>
      <c r="R3818" s="3"/>
      <c r="S3818" s="3"/>
      <c r="V3818" s="3"/>
      <c r="W3818" s="3"/>
      <c r="X3818" s="3"/>
      <c r="Y3818" s="3"/>
      <c r="Z3818" s="3"/>
      <c r="AA3818" s="3"/>
      <c r="AB3818" s="3"/>
    </row>
    <row r="3819" spans="1:28" x14ac:dyDescent="0.3">
      <c r="A3819" s="2"/>
      <c r="F3819" s="3"/>
      <c r="G3819" s="3"/>
      <c r="N3819" s="3"/>
      <c r="Q3819" s="3"/>
      <c r="R3819" s="3"/>
      <c r="S3819" s="3"/>
      <c r="V3819" s="3"/>
      <c r="W3819" s="3"/>
      <c r="X3819" s="3"/>
      <c r="Y3819" s="3"/>
      <c r="Z3819" s="3"/>
      <c r="AA3819" s="3"/>
      <c r="AB3819" s="3"/>
    </row>
    <row r="3820" spans="1:28" x14ac:dyDescent="0.3">
      <c r="A3820" s="2"/>
      <c r="F3820" s="3"/>
      <c r="G3820" s="3"/>
      <c r="N3820" s="3"/>
      <c r="Q3820" s="3"/>
      <c r="R3820" s="3"/>
      <c r="S3820" s="3"/>
      <c r="V3820" s="3"/>
      <c r="W3820" s="3"/>
      <c r="X3820" s="3"/>
      <c r="Y3820" s="3"/>
      <c r="Z3820" s="3"/>
      <c r="AA3820" s="3"/>
      <c r="AB3820" s="3"/>
    </row>
    <row r="3821" spans="1:28" x14ac:dyDescent="0.3">
      <c r="A3821" s="2"/>
      <c r="F3821" s="3"/>
      <c r="G3821" s="3"/>
      <c r="N3821" s="3"/>
      <c r="Q3821" s="3"/>
      <c r="R3821" s="3"/>
      <c r="S3821" s="3"/>
      <c r="V3821" s="3"/>
      <c r="W3821" s="3"/>
      <c r="X3821" s="3"/>
      <c r="Y3821" s="3"/>
      <c r="Z3821" s="3"/>
      <c r="AA3821" s="3"/>
      <c r="AB3821" s="3"/>
    </row>
    <row r="3822" spans="1:28" x14ac:dyDescent="0.3">
      <c r="A3822" s="2"/>
      <c r="F3822" s="3"/>
      <c r="G3822" s="3"/>
      <c r="N3822" s="3"/>
      <c r="Q3822" s="3"/>
      <c r="R3822" s="3"/>
      <c r="S3822" s="3"/>
      <c r="V3822" s="3"/>
      <c r="W3822" s="3"/>
      <c r="X3822" s="3"/>
      <c r="Y3822" s="3"/>
      <c r="Z3822" s="3"/>
      <c r="AA3822" s="3"/>
      <c r="AB3822" s="3"/>
    </row>
    <row r="3823" spans="1:28" x14ac:dyDescent="0.3">
      <c r="A3823" s="2"/>
      <c r="F3823" s="3"/>
      <c r="G3823" s="3"/>
      <c r="N3823" s="3"/>
      <c r="Q3823" s="3"/>
      <c r="R3823" s="3"/>
      <c r="S3823" s="3"/>
      <c r="V3823" s="3"/>
      <c r="W3823" s="3"/>
      <c r="X3823" s="3"/>
      <c r="Y3823" s="3"/>
      <c r="Z3823" s="3"/>
      <c r="AA3823" s="3"/>
      <c r="AB3823" s="3"/>
    </row>
    <row r="3824" spans="1:28" x14ac:dyDescent="0.3">
      <c r="A3824" s="2"/>
      <c r="F3824" s="3"/>
      <c r="G3824" s="3"/>
      <c r="N3824" s="3"/>
      <c r="Q3824" s="3"/>
      <c r="R3824" s="3"/>
      <c r="S3824" s="3"/>
      <c r="V3824" s="3"/>
      <c r="W3824" s="3"/>
      <c r="X3824" s="3"/>
      <c r="Y3824" s="3"/>
      <c r="Z3824" s="3"/>
      <c r="AA3824" s="3"/>
      <c r="AB3824" s="3"/>
    </row>
    <row r="3825" spans="1:28" x14ac:dyDescent="0.3">
      <c r="A3825" s="2"/>
      <c r="F3825" s="3"/>
      <c r="G3825" s="3"/>
      <c r="N3825" s="3"/>
      <c r="Q3825" s="3"/>
      <c r="R3825" s="3"/>
      <c r="S3825" s="3"/>
      <c r="V3825" s="3"/>
      <c r="W3825" s="3"/>
      <c r="X3825" s="3"/>
      <c r="Y3825" s="3"/>
      <c r="Z3825" s="3"/>
      <c r="AA3825" s="3"/>
      <c r="AB3825" s="3"/>
    </row>
    <row r="3826" spans="1:28" x14ac:dyDescent="0.3">
      <c r="A3826" s="2"/>
      <c r="F3826" s="3"/>
      <c r="G3826" s="3"/>
      <c r="N3826" s="3"/>
      <c r="Q3826" s="3"/>
      <c r="R3826" s="3"/>
      <c r="S3826" s="3"/>
      <c r="V3826" s="3"/>
      <c r="W3826" s="3"/>
      <c r="X3826" s="3"/>
      <c r="Y3826" s="3"/>
      <c r="Z3826" s="3"/>
      <c r="AA3826" s="3"/>
      <c r="AB3826" s="3"/>
    </row>
    <row r="3827" spans="1:28" x14ac:dyDescent="0.3">
      <c r="A3827" s="2"/>
      <c r="F3827" s="3"/>
      <c r="G3827" s="3"/>
      <c r="N3827" s="3"/>
      <c r="Q3827" s="3"/>
      <c r="R3827" s="3"/>
      <c r="S3827" s="3"/>
      <c r="V3827" s="3"/>
      <c r="W3827" s="3"/>
      <c r="X3827" s="3"/>
      <c r="Y3827" s="3"/>
      <c r="Z3827" s="3"/>
      <c r="AA3827" s="3"/>
      <c r="AB3827" s="3"/>
    </row>
    <row r="3828" spans="1:28" x14ac:dyDescent="0.3">
      <c r="A3828" s="2"/>
      <c r="F3828" s="3"/>
      <c r="G3828" s="3"/>
      <c r="N3828" s="3"/>
      <c r="Q3828" s="3"/>
      <c r="R3828" s="3"/>
      <c r="S3828" s="3"/>
      <c r="V3828" s="3"/>
      <c r="W3828" s="3"/>
      <c r="X3828" s="3"/>
      <c r="Y3828" s="3"/>
      <c r="Z3828" s="3"/>
      <c r="AA3828" s="3"/>
      <c r="AB3828" s="3"/>
    </row>
    <row r="3829" spans="1:28" x14ac:dyDescent="0.3">
      <c r="A3829" s="2"/>
      <c r="F3829" s="3"/>
      <c r="G3829" s="3"/>
      <c r="N3829" s="3"/>
      <c r="Q3829" s="3"/>
      <c r="R3829" s="3"/>
      <c r="S3829" s="3"/>
      <c r="V3829" s="3"/>
      <c r="W3829" s="3"/>
      <c r="X3829" s="3"/>
      <c r="Y3829" s="3"/>
      <c r="Z3829" s="3"/>
      <c r="AA3829" s="3"/>
      <c r="AB3829" s="3"/>
    </row>
    <row r="3830" spans="1:28" x14ac:dyDescent="0.3">
      <c r="A3830" s="2"/>
      <c r="F3830" s="3"/>
      <c r="G3830" s="3"/>
      <c r="N3830" s="3"/>
      <c r="Q3830" s="3"/>
      <c r="R3830" s="3"/>
      <c r="S3830" s="3"/>
      <c r="V3830" s="3"/>
      <c r="W3830" s="3"/>
      <c r="X3830" s="3"/>
      <c r="Y3830" s="3"/>
      <c r="Z3830" s="3"/>
      <c r="AA3830" s="3"/>
      <c r="AB3830" s="3"/>
    </row>
    <row r="3831" spans="1:28" x14ac:dyDescent="0.3">
      <c r="A3831" s="2"/>
      <c r="F3831" s="3"/>
      <c r="G3831" s="3"/>
      <c r="N3831" s="3"/>
      <c r="Q3831" s="3"/>
      <c r="R3831" s="3"/>
      <c r="S3831" s="3"/>
      <c r="V3831" s="3"/>
      <c r="W3831" s="3"/>
      <c r="X3831" s="3"/>
      <c r="Y3831" s="3"/>
      <c r="Z3831" s="3"/>
      <c r="AA3831" s="3"/>
      <c r="AB3831" s="3"/>
    </row>
    <row r="3832" spans="1:28" x14ac:dyDescent="0.3">
      <c r="A3832" s="2"/>
      <c r="F3832" s="3"/>
      <c r="G3832" s="3"/>
      <c r="N3832" s="3"/>
      <c r="Q3832" s="3"/>
      <c r="R3832" s="3"/>
      <c r="S3832" s="3"/>
      <c r="V3832" s="3"/>
      <c r="W3832" s="3"/>
      <c r="X3832" s="3"/>
      <c r="Y3832" s="3"/>
      <c r="Z3832" s="3"/>
      <c r="AA3832" s="3"/>
      <c r="AB3832" s="3"/>
    </row>
    <row r="3833" spans="1:28" x14ac:dyDescent="0.3">
      <c r="A3833" s="2"/>
      <c r="F3833" s="3"/>
      <c r="G3833" s="3"/>
      <c r="N3833" s="3"/>
      <c r="Q3833" s="3"/>
      <c r="R3833" s="3"/>
      <c r="S3833" s="3"/>
      <c r="V3833" s="3"/>
      <c r="W3833" s="3"/>
      <c r="X3833" s="3"/>
      <c r="Y3833" s="3"/>
      <c r="Z3833" s="3"/>
      <c r="AA3833" s="3"/>
      <c r="AB3833" s="3"/>
    </row>
    <row r="3834" spans="1:28" x14ac:dyDescent="0.3">
      <c r="A3834" s="2"/>
      <c r="F3834" s="3"/>
      <c r="G3834" s="3"/>
      <c r="N3834" s="3"/>
      <c r="Q3834" s="3"/>
      <c r="R3834" s="3"/>
      <c r="S3834" s="3"/>
      <c r="V3834" s="3"/>
      <c r="W3834" s="3"/>
      <c r="X3834" s="3"/>
      <c r="Y3834" s="3"/>
      <c r="Z3834" s="3"/>
      <c r="AA3834" s="3"/>
      <c r="AB3834" s="3"/>
    </row>
    <row r="3835" spans="1:28" x14ac:dyDescent="0.3">
      <c r="A3835" s="2"/>
      <c r="F3835" s="3"/>
      <c r="G3835" s="3"/>
      <c r="N3835" s="3"/>
      <c r="Q3835" s="3"/>
      <c r="R3835" s="3"/>
      <c r="S3835" s="3"/>
      <c r="V3835" s="3"/>
      <c r="W3835" s="3"/>
      <c r="X3835" s="3"/>
      <c r="Y3835" s="3"/>
      <c r="Z3835" s="3"/>
      <c r="AA3835" s="3"/>
      <c r="AB3835" s="3"/>
    </row>
    <row r="3836" spans="1:28" x14ac:dyDescent="0.3">
      <c r="A3836" s="2"/>
      <c r="F3836" s="3"/>
      <c r="G3836" s="3"/>
      <c r="N3836" s="3"/>
      <c r="Q3836" s="3"/>
      <c r="R3836" s="3"/>
      <c r="S3836" s="3"/>
      <c r="V3836" s="3"/>
      <c r="W3836" s="3"/>
      <c r="X3836" s="3"/>
      <c r="Y3836" s="3"/>
      <c r="Z3836" s="3"/>
      <c r="AA3836" s="3"/>
      <c r="AB3836" s="3"/>
    </row>
    <row r="3837" spans="1:28" x14ac:dyDescent="0.3">
      <c r="A3837" s="2"/>
      <c r="F3837" s="3"/>
      <c r="G3837" s="3"/>
      <c r="N3837" s="3"/>
      <c r="Q3837" s="3"/>
      <c r="R3837" s="3"/>
      <c r="S3837" s="3"/>
      <c r="V3837" s="3"/>
      <c r="W3837" s="3"/>
      <c r="X3837" s="3"/>
      <c r="Y3837" s="3"/>
      <c r="Z3837" s="3"/>
      <c r="AA3837" s="3"/>
      <c r="AB3837" s="3"/>
    </row>
    <row r="3838" spans="1:28" x14ac:dyDescent="0.3">
      <c r="A3838" s="2"/>
      <c r="F3838" s="3"/>
      <c r="G3838" s="3"/>
      <c r="N3838" s="3"/>
      <c r="Q3838" s="3"/>
      <c r="R3838" s="3"/>
      <c r="S3838" s="3"/>
      <c r="V3838" s="3"/>
      <c r="W3838" s="3"/>
      <c r="X3838" s="3"/>
      <c r="Y3838" s="3"/>
      <c r="Z3838" s="3"/>
      <c r="AA3838" s="3"/>
      <c r="AB3838" s="3"/>
    </row>
    <row r="3839" spans="1:28" x14ac:dyDescent="0.3">
      <c r="A3839" s="2"/>
      <c r="F3839" s="3"/>
      <c r="G3839" s="3"/>
      <c r="N3839" s="3"/>
      <c r="Q3839" s="3"/>
      <c r="R3839" s="3"/>
      <c r="S3839" s="3"/>
      <c r="V3839" s="3"/>
      <c r="W3839" s="3"/>
      <c r="X3839" s="3"/>
      <c r="Y3839" s="3"/>
      <c r="Z3839" s="3"/>
      <c r="AA3839" s="3"/>
      <c r="AB3839" s="3"/>
    </row>
    <row r="3840" spans="1:28" x14ac:dyDescent="0.3">
      <c r="A3840" s="2"/>
      <c r="F3840" s="3"/>
      <c r="G3840" s="3"/>
      <c r="N3840" s="3"/>
      <c r="Q3840" s="3"/>
      <c r="R3840" s="3"/>
      <c r="S3840" s="3"/>
      <c r="V3840" s="3"/>
      <c r="W3840" s="3"/>
      <c r="X3840" s="3"/>
      <c r="Y3840" s="3"/>
      <c r="Z3840" s="3"/>
      <c r="AA3840" s="3"/>
      <c r="AB3840" s="3"/>
    </row>
    <row r="3841" spans="1:28" x14ac:dyDescent="0.3">
      <c r="A3841" s="2"/>
      <c r="F3841" s="3"/>
      <c r="G3841" s="3"/>
      <c r="N3841" s="3"/>
      <c r="Q3841" s="3"/>
      <c r="R3841" s="3"/>
      <c r="S3841" s="3"/>
      <c r="V3841" s="3"/>
      <c r="W3841" s="3"/>
      <c r="X3841" s="3"/>
      <c r="Y3841" s="3"/>
      <c r="Z3841" s="3"/>
      <c r="AA3841" s="3"/>
      <c r="AB3841" s="3"/>
    </row>
    <row r="3842" spans="1:28" x14ac:dyDescent="0.3">
      <c r="A3842" s="2"/>
      <c r="F3842" s="3"/>
      <c r="G3842" s="3"/>
      <c r="N3842" s="3"/>
      <c r="Q3842" s="3"/>
      <c r="R3842" s="3"/>
      <c r="S3842" s="3"/>
      <c r="V3842" s="3"/>
      <c r="W3842" s="3"/>
      <c r="X3842" s="3"/>
      <c r="Y3842" s="3"/>
      <c r="Z3842" s="3"/>
      <c r="AA3842" s="3"/>
      <c r="AB3842" s="3"/>
    </row>
    <row r="3843" spans="1:28" x14ac:dyDescent="0.3">
      <c r="A3843" s="2"/>
      <c r="F3843" s="3"/>
      <c r="G3843" s="3"/>
      <c r="N3843" s="3"/>
      <c r="Q3843" s="3"/>
      <c r="R3843" s="3"/>
      <c r="S3843" s="3"/>
      <c r="V3843" s="3"/>
      <c r="W3843" s="3"/>
      <c r="X3843" s="3"/>
      <c r="Y3843" s="3"/>
      <c r="Z3843" s="3"/>
      <c r="AA3843" s="3"/>
      <c r="AB3843" s="3"/>
    </row>
    <row r="3844" spans="1:28" x14ac:dyDescent="0.3">
      <c r="A3844" s="2"/>
      <c r="F3844" s="3"/>
      <c r="G3844" s="3"/>
      <c r="N3844" s="3"/>
      <c r="Q3844" s="3"/>
      <c r="R3844" s="3"/>
      <c r="S3844" s="3"/>
      <c r="V3844" s="3"/>
      <c r="W3844" s="3"/>
      <c r="X3844" s="3"/>
      <c r="Y3844" s="3"/>
      <c r="Z3844" s="3"/>
      <c r="AA3844" s="3"/>
      <c r="AB3844" s="3"/>
    </row>
    <row r="3845" spans="1:28" x14ac:dyDescent="0.3">
      <c r="A3845" s="2"/>
      <c r="F3845" s="3"/>
      <c r="G3845" s="3"/>
      <c r="N3845" s="3"/>
      <c r="Q3845" s="3"/>
      <c r="R3845" s="3"/>
      <c r="S3845" s="3"/>
      <c r="V3845" s="3"/>
      <c r="W3845" s="3"/>
      <c r="X3845" s="3"/>
      <c r="Y3845" s="3"/>
      <c r="Z3845" s="3"/>
      <c r="AA3845" s="3"/>
      <c r="AB3845" s="3"/>
    </row>
    <row r="3846" spans="1:28" x14ac:dyDescent="0.3">
      <c r="A3846" s="2"/>
      <c r="F3846" s="3"/>
      <c r="G3846" s="3"/>
      <c r="N3846" s="3"/>
      <c r="Q3846" s="3"/>
      <c r="R3846" s="3"/>
      <c r="S3846" s="3"/>
      <c r="V3846" s="3"/>
      <c r="W3846" s="3"/>
      <c r="X3846" s="3"/>
      <c r="Y3846" s="3"/>
      <c r="Z3846" s="3"/>
      <c r="AA3846" s="3"/>
      <c r="AB3846" s="3"/>
    </row>
    <row r="3847" spans="1:28" x14ac:dyDescent="0.3">
      <c r="A3847" s="2"/>
      <c r="F3847" s="3"/>
      <c r="G3847" s="3"/>
      <c r="N3847" s="3"/>
      <c r="Q3847" s="3"/>
      <c r="R3847" s="3"/>
      <c r="S3847" s="3"/>
      <c r="V3847" s="3"/>
      <c r="W3847" s="3"/>
      <c r="X3847" s="3"/>
      <c r="Y3847" s="3"/>
      <c r="Z3847" s="3"/>
      <c r="AA3847" s="3"/>
      <c r="AB3847" s="3"/>
    </row>
    <row r="3848" spans="1:28" x14ac:dyDescent="0.3">
      <c r="A3848" s="2"/>
      <c r="F3848" s="3"/>
      <c r="G3848" s="3"/>
      <c r="N3848" s="3"/>
      <c r="Q3848" s="3"/>
      <c r="R3848" s="3"/>
      <c r="S3848" s="3"/>
      <c r="V3848" s="3"/>
      <c r="W3848" s="3"/>
      <c r="X3848" s="3"/>
      <c r="Y3848" s="3"/>
      <c r="Z3848" s="3"/>
      <c r="AA3848" s="3"/>
      <c r="AB3848" s="3"/>
    </row>
    <row r="3849" spans="1:28" x14ac:dyDescent="0.3">
      <c r="A3849" s="2"/>
      <c r="F3849" s="3"/>
      <c r="G3849" s="3"/>
      <c r="N3849" s="3"/>
      <c r="Q3849" s="3"/>
      <c r="R3849" s="3"/>
      <c r="S3849" s="3"/>
      <c r="V3849" s="3"/>
      <c r="W3849" s="3"/>
      <c r="X3849" s="3"/>
      <c r="Y3849" s="3"/>
      <c r="Z3849" s="3"/>
      <c r="AA3849" s="3"/>
      <c r="AB3849" s="3"/>
    </row>
    <row r="3850" spans="1:28" x14ac:dyDescent="0.3">
      <c r="A3850" s="2"/>
      <c r="F3850" s="3"/>
      <c r="G3850" s="3"/>
      <c r="N3850" s="3"/>
      <c r="Q3850" s="3"/>
      <c r="R3850" s="3"/>
      <c r="S3850" s="3"/>
      <c r="V3850" s="3"/>
      <c r="W3850" s="3"/>
      <c r="X3850" s="3"/>
      <c r="Y3850" s="3"/>
      <c r="Z3850" s="3"/>
      <c r="AA3850" s="3"/>
      <c r="AB3850" s="3"/>
    </row>
    <row r="3851" spans="1:28" x14ac:dyDescent="0.3">
      <c r="A3851" s="2"/>
      <c r="F3851" s="3"/>
      <c r="G3851" s="3"/>
      <c r="N3851" s="3"/>
      <c r="Q3851" s="3"/>
      <c r="R3851" s="3"/>
      <c r="S3851" s="3"/>
      <c r="V3851" s="3"/>
      <c r="W3851" s="3"/>
      <c r="X3851" s="3"/>
      <c r="Y3851" s="3"/>
      <c r="Z3851" s="3"/>
      <c r="AA3851" s="3"/>
      <c r="AB3851" s="3"/>
    </row>
    <row r="3852" spans="1:28" x14ac:dyDescent="0.3">
      <c r="A3852" s="2"/>
      <c r="F3852" s="3"/>
      <c r="G3852" s="3"/>
      <c r="N3852" s="3"/>
      <c r="Q3852" s="3"/>
      <c r="R3852" s="3"/>
      <c r="S3852" s="3"/>
      <c r="V3852" s="3"/>
      <c r="W3852" s="3"/>
      <c r="X3852" s="3"/>
      <c r="Y3852" s="3"/>
      <c r="Z3852" s="3"/>
      <c r="AA3852" s="3"/>
      <c r="AB3852" s="3"/>
    </row>
    <row r="3853" spans="1:28" x14ac:dyDescent="0.3">
      <c r="A3853" s="2"/>
      <c r="F3853" s="3"/>
      <c r="G3853" s="3"/>
      <c r="N3853" s="3"/>
      <c r="Q3853" s="3"/>
      <c r="R3853" s="3"/>
      <c r="S3853" s="3"/>
      <c r="V3853" s="3"/>
      <c r="W3853" s="3"/>
      <c r="X3853" s="3"/>
      <c r="Y3853" s="3"/>
      <c r="Z3853" s="3"/>
      <c r="AA3853" s="3"/>
      <c r="AB3853" s="3"/>
    </row>
    <row r="3854" spans="1:28" x14ac:dyDescent="0.3">
      <c r="A3854" s="2"/>
      <c r="F3854" s="3"/>
      <c r="G3854" s="3"/>
      <c r="N3854" s="3"/>
      <c r="Q3854" s="3"/>
      <c r="R3854" s="3"/>
      <c r="S3854" s="3"/>
      <c r="V3854" s="3"/>
      <c r="W3854" s="3"/>
      <c r="X3854" s="3"/>
      <c r="Y3854" s="3"/>
      <c r="Z3854" s="3"/>
      <c r="AA3854" s="3"/>
      <c r="AB3854" s="3"/>
    </row>
    <row r="3855" spans="1:28" x14ac:dyDescent="0.3">
      <c r="A3855" s="2"/>
      <c r="F3855" s="3"/>
      <c r="G3855" s="3"/>
      <c r="N3855" s="3"/>
      <c r="Q3855" s="3"/>
      <c r="R3855" s="3"/>
      <c r="S3855" s="3"/>
      <c r="V3855" s="3"/>
      <c r="W3855" s="3"/>
      <c r="X3855" s="3"/>
      <c r="Y3855" s="3"/>
      <c r="Z3855" s="3"/>
      <c r="AA3855" s="3"/>
      <c r="AB3855" s="3"/>
    </row>
    <row r="3856" spans="1:28" x14ac:dyDescent="0.3">
      <c r="A3856" s="2"/>
      <c r="F3856" s="3"/>
      <c r="G3856" s="3"/>
      <c r="N3856" s="3"/>
      <c r="Q3856" s="3"/>
      <c r="R3856" s="3"/>
      <c r="S3856" s="3"/>
      <c r="V3856" s="3"/>
      <c r="W3856" s="3"/>
      <c r="X3856" s="3"/>
      <c r="Y3856" s="3"/>
      <c r="Z3856" s="3"/>
      <c r="AA3856" s="3"/>
      <c r="AB3856" s="3"/>
    </row>
    <row r="3857" spans="1:28" x14ac:dyDescent="0.3">
      <c r="A3857" s="2"/>
      <c r="F3857" s="3"/>
      <c r="G3857" s="3"/>
      <c r="N3857" s="3"/>
      <c r="Q3857" s="3"/>
      <c r="R3857" s="3"/>
      <c r="S3857" s="3"/>
      <c r="V3857" s="3"/>
      <c r="W3857" s="3"/>
      <c r="X3857" s="3"/>
      <c r="Y3857" s="3"/>
      <c r="Z3857" s="3"/>
      <c r="AA3857" s="3"/>
      <c r="AB3857" s="3"/>
    </row>
    <row r="3858" spans="1:28" x14ac:dyDescent="0.3">
      <c r="A3858" s="2"/>
      <c r="F3858" s="3"/>
      <c r="G3858" s="3"/>
      <c r="N3858" s="3"/>
      <c r="Q3858" s="3"/>
      <c r="R3858" s="3"/>
      <c r="S3858" s="3"/>
      <c r="V3858" s="3"/>
      <c r="W3858" s="3"/>
      <c r="X3858" s="3"/>
      <c r="Y3858" s="3"/>
      <c r="Z3858" s="3"/>
      <c r="AA3858" s="3"/>
      <c r="AB3858" s="3"/>
    </row>
    <row r="3859" spans="1:28" x14ac:dyDescent="0.3">
      <c r="A3859" s="2"/>
      <c r="F3859" s="3"/>
      <c r="G3859" s="3"/>
      <c r="N3859" s="3"/>
      <c r="Q3859" s="3"/>
      <c r="R3859" s="3"/>
      <c r="S3859" s="3"/>
      <c r="V3859" s="3"/>
      <c r="W3859" s="3"/>
      <c r="X3859" s="3"/>
      <c r="Y3859" s="3"/>
      <c r="Z3859" s="3"/>
      <c r="AA3859" s="3"/>
      <c r="AB3859" s="3"/>
    </row>
    <row r="3860" spans="1:28" x14ac:dyDescent="0.3">
      <c r="A3860" s="2"/>
      <c r="F3860" s="3"/>
      <c r="G3860" s="3"/>
      <c r="N3860" s="3"/>
      <c r="Q3860" s="3"/>
      <c r="R3860" s="3"/>
      <c r="S3860" s="3"/>
      <c r="V3860" s="3"/>
      <c r="W3860" s="3"/>
      <c r="X3860" s="3"/>
      <c r="Y3860" s="3"/>
      <c r="Z3860" s="3"/>
      <c r="AA3860" s="3"/>
      <c r="AB3860" s="3"/>
    </row>
    <row r="3861" spans="1:28" x14ac:dyDescent="0.3">
      <c r="A3861" s="2"/>
      <c r="F3861" s="3"/>
      <c r="G3861" s="3"/>
      <c r="N3861" s="3"/>
      <c r="Q3861" s="3"/>
      <c r="R3861" s="3"/>
      <c r="S3861" s="3"/>
      <c r="V3861" s="3"/>
      <c r="W3861" s="3"/>
      <c r="X3861" s="3"/>
      <c r="Y3861" s="3"/>
      <c r="Z3861" s="3"/>
      <c r="AA3861" s="3"/>
      <c r="AB3861" s="3"/>
    </row>
    <row r="3862" spans="1:28" x14ac:dyDescent="0.3">
      <c r="A3862" s="2"/>
      <c r="F3862" s="3"/>
      <c r="G3862" s="3"/>
      <c r="N3862" s="3"/>
      <c r="Q3862" s="3"/>
      <c r="R3862" s="3"/>
      <c r="S3862" s="3"/>
      <c r="V3862" s="3"/>
      <c r="W3862" s="3"/>
      <c r="X3862" s="3"/>
      <c r="Y3862" s="3"/>
      <c r="Z3862" s="3"/>
      <c r="AA3862" s="3"/>
      <c r="AB3862" s="3"/>
    </row>
    <row r="3863" spans="1:28" x14ac:dyDescent="0.3">
      <c r="A3863" s="2"/>
      <c r="F3863" s="3"/>
      <c r="G3863" s="3"/>
      <c r="N3863" s="3"/>
      <c r="Q3863" s="3"/>
      <c r="R3863" s="3"/>
      <c r="S3863" s="3"/>
      <c r="V3863" s="3"/>
      <c r="W3863" s="3"/>
      <c r="X3863" s="3"/>
      <c r="Y3863" s="3"/>
      <c r="Z3863" s="3"/>
      <c r="AA3863" s="3"/>
      <c r="AB3863" s="3"/>
    </row>
    <row r="3864" spans="1:28" x14ac:dyDescent="0.3">
      <c r="A3864" s="2"/>
      <c r="F3864" s="3"/>
      <c r="G3864" s="3"/>
      <c r="N3864" s="3"/>
      <c r="Q3864" s="3"/>
      <c r="R3864" s="3"/>
      <c r="S3864" s="3"/>
      <c r="V3864" s="3"/>
      <c r="W3864" s="3"/>
      <c r="X3864" s="3"/>
      <c r="Y3864" s="3"/>
      <c r="Z3864" s="3"/>
      <c r="AA3864" s="3"/>
      <c r="AB3864" s="3"/>
    </row>
    <row r="3865" spans="1:28" x14ac:dyDescent="0.3">
      <c r="A3865" s="2"/>
      <c r="F3865" s="3"/>
      <c r="G3865" s="3"/>
      <c r="N3865" s="3"/>
      <c r="Q3865" s="3"/>
      <c r="R3865" s="3"/>
      <c r="S3865" s="3"/>
      <c r="V3865" s="3"/>
      <c r="W3865" s="3"/>
      <c r="X3865" s="3"/>
      <c r="Y3865" s="3"/>
      <c r="Z3865" s="3"/>
      <c r="AA3865" s="3"/>
      <c r="AB3865" s="3"/>
    </row>
    <row r="3866" spans="1:28" x14ac:dyDescent="0.3">
      <c r="A3866" s="2"/>
      <c r="F3866" s="3"/>
      <c r="G3866" s="3"/>
      <c r="N3866" s="3"/>
      <c r="Q3866" s="3"/>
      <c r="R3866" s="3"/>
      <c r="S3866" s="3"/>
      <c r="V3866" s="3"/>
      <c r="W3866" s="3"/>
      <c r="X3866" s="3"/>
      <c r="Y3866" s="3"/>
      <c r="Z3866" s="3"/>
      <c r="AA3866" s="3"/>
      <c r="AB3866" s="3"/>
    </row>
    <row r="3867" spans="1:28" x14ac:dyDescent="0.3">
      <c r="A3867" s="2"/>
      <c r="F3867" s="3"/>
      <c r="G3867" s="3"/>
      <c r="N3867" s="3"/>
      <c r="Q3867" s="3"/>
      <c r="R3867" s="3"/>
      <c r="S3867" s="3"/>
      <c r="V3867" s="3"/>
      <c r="W3867" s="3"/>
      <c r="X3867" s="3"/>
      <c r="Y3867" s="3"/>
      <c r="Z3867" s="3"/>
      <c r="AA3867" s="3"/>
      <c r="AB3867" s="3"/>
    </row>
    <row r="3868" spans="1:28" x14ac:dyDescent="0.3">
      <c r="A3868" s="2"/>
      <c r="F3868" s="3"/>
      <c r="G3868" s="3"/>
      <c r="N3868" s="3"/>
      <c r="Q3868" s="3"/>
      <c r="R3868" s="3"/>
      <c r="S3868" s="3"/>
      <c r="V3868" s="3"/>
      <c r="W3868" s="3"/>
      <c r="X3868" s="3"/>
      <c r="Y3868" s="3"/>
      <c r="Z3868" s="3"/>
      <c r="AA3868" s="3"/>
      <c r="AB3868" s="3"/>
    </row>
    <row r="3869" spans="1:28" x14ac:dyDescent="0.3">
      <c r="A3869" s="2"/>
      <c r="F3869" s="3"/>
      <c r="G3869" s="3"/>
      <c r="N3869" s="3"/>
      <c r="Q3869" s="3"/>
      <c r="R3869" s="3"/>
      <c r="S3869" s="3"/>
      <c r="V3869" s="3"/>
      <c r="W3869" s="3"/>
      <c r="X3869" s="3"/>
      <c r="Y3869" s="3"/>
      <c r="Z3869" s="3"/>
      <c r="AA3869" s="3"/>
      <c r="AB3869" s="3"/>
    </row>
    <row r="3870" spans="1:28" x14ac:dyDescent="0.3">
      <c r="A3870" s="2"/>
      <c r="F3870" s="3"/>
      <c r="G3870" s="3"/>
      <c r="N3870" s="3"/>
      <c r="Q3870" s="3"/>
      <c r="R3870" s="3"/>
      <c r="S3870" s="3"/>
      <c r="V3870" s="3"/>
      <c r="W3870" s="3"/>
      <c r="X3870" s="3"/>
      <c r="Y3870" s="3"/>
      <c r="Z3870" s="3"/>
      <c r="AA3870" s="3"/>
      <c r="AB3870" s="3"/>
    </row>
    <row r="3871" spans="1:28" x14ac:dyDescent="0.3">
      <c r="A3871" s="2"/>
      <c r="F3871" s="3"/>
      <c r="G3871" s="3"/>
      <c r="N3871" s="3"/>
      <c r="Q3871" s="3"/>
      <c r="R3871" s="3"/>
      <c r="S3871" s="3"/>
      <c r="V3871" s="3"/>
      <c r="W3871" s="3"/>
      <c r="X3871" s="3"/>
      <c r="Y3871" s="3"/>
      <c r="Z3871" s="3"/>
      <c r="AA3871" s="3"/>
      <c r="AB3871" s="3"/>
    </row>
    <row r="3872" spans="1:28" x14ac:dyDescent="0.3">
      <c r="A3872" s="2"/>
      <c r="F3872" s="3"/>
      <c r="G3872" s="3"/>
      <c r="N3872" s="3"/>
      <c r="Q3872" s="3"/>
      <c r="R3872" s="3"/>
      <c r="S3872" s="3"/>
      <c r="V3872" s="3"/>
      <c r="W3872" s="3"/>
      <c r="X3872" s="3"/>
      <c r="Y3872" s="3"/>
      <c r="Z3872" s="3"/>
      <c r="AA3872" s="3"/>
      <c r="AB3872" s="3"/>
    </row>
    <row r="3873" spans="1:28" x14ac:dyDescent="0.3">
      <c r="A3873" s="2"/>
      <c r="F3873" s="3"/>
      <c r="G3873" s="3"/>
      <c r="N3873" s="3"/>
      <c r="Q3873" s="3"/>
      <c r="R3873" s="3"/>
      <c r="S3873" s="3"/>
      <c r="V3873" s="3"/>
      <c r="W3873" s="3"/>
      <c r="X3873" s="3"/>
      <c r="Y3873" s="3"/>
      <c r="Z3873" s="3"/>
      <c r="AA3873" s="3"/>
      <c r="AB3873" s="3"/>
    </row>
    <row r="3874" spans="1:28" x14ac:dyDescent="0.3">
      <c r="A3874" s="2"/>
      <c r="F3874" s="3"/>
      <c r="G3874" s="3"/>
      <c r="N3874" s="3"/>
      <c r="Q3874" s="3"/>
      <c r="R3874" s="3"/>
      <c r="S3874" s="3"/>
      <c r="V3874" s="3"/>
      <c r="W3874" s="3"/>
      <c r="X3874" s="3"/>
      <c r="Y3874" s="3"/>
      <c r="Z3874" s="3"/>
      <c r="AA3874" s="3"/>
      <c r="AB3874" s="3"/>
    </row>
    <row r="3875" spans="1:28" x14ac:dyDescent="0.3">
      <c r="A3875" s="2"/>
      <c r="F3875" s="3"/>
      <c r="G3875" s="3"/>
      <c r="N3875" s="3"/>
      <c r="Q3875" s="3"/>
      <c r="R3875" s="3"/>
      <c r="S3875" s="3"/>
      <c r="V3875" s="3"/>
      <c r="W3875" s="3"/>
      <c r="X3875" s="3"/>
      <c r="Y3875" s="3"/>
      <c r="Z3875" s="3"/>
      <c r="AA3875" s="3"/>
      <c r="AB3875" s="3"/>
    </row>
    <row r="3876" spans="1:28" x14ac:dyDescent="0.3">
      <c r="A3876" s="2"/>
      <c r="F3876" s="3"/>
      <c r="G3876" s="3"/>
      <c r="N3876" s="3"/>
      <c r="Q3876" s="3"/>
      <c r="R3876" s="3"/>
      <c r="S3876" s="3"/>
      <c r="V3876" s="3"/>
      <c r="W3876" s="3"/>
      <c r="X3876" s="3"/>
      <c r="Y3876" s="3"/>
      <c r="Z3876" s="3"/>
      <c r="AA3876" s="3"/>
      <c r="AB3876" s="3"/>
    </row>
    <row r="3877" spans="1:28" x14ac:dyDescent="0.3">
      <c r="A3877" s="2"/>
      <c r="F3877" s="3"/>
      <c r="G3877" s="3"/>
      <c r="N3877" s="3"/>
      <c r="Q3877" s="3"/>
      <c r="R3877" s="3"/>
      <c r="S3877" s="3"/>
      <c r="V3877" s="3"/>
      <c r="W3877" s="3"/>
      <c r="X3877" s="3"/>
      <c r="Y3877" s="3"/>
      <c r="Z3877" s="3"/>
      <c r="AA3877" s="3"/>
      <c r="AB3877" s="3"/>
    </row>
    <row r="3878" spans="1:28" x14ac:dyDescent="0.3">
      <c r="A3878" s="2"/>
      <c r="F3878" s="3"/>
      <c r="G3878" s="3"/>
      <c r="N3878" s="3"/>
      <c r="Q3878" s="3"/>
      <c r="R3878" s="3"/>
      <c r="S3878" s="3"/>
      <c r="V3878" s="3"/>
      <c r="W3878" s="3"/>
      <c r="X3878" s="3"/>
      <c r="Y3878" s="3"/>
      <c r="Z3878" s="3"/>
      <c r="AA3878" s="3"/>
      <c r="AB3878" s="3"/>
    </row>
    <row r="3879" spans="1:28" x14ac:dyDescent="0.3">
      <c r="A3879" s="2"/>
      <c r="F3879" s="3"/>
      <c r="G3879" s="3"/>
      <c r="N3879" s="3"/>
      <c r="Q3879" s="3"/>
      <c r="R3879" s="3"/>
      <c r="S3879" s="3"/>
      <c r="V3879" s="3"/>
      <c r="W3879" s="3"/>
      <c r="X3879" s="3"/>
      <c r="Y3879" s="3"/>
      <c r="Z3879" s="3"/>
      <c r="AA3879" s="3"/>
      <c r="AB3879" s="3"/>
    </row>
    <row r="3880" spans="1:28" x14ac:dyDescent="0.3">
      <c r="A3880" s="2"/>
      <c r="F3880" s="3"/>
      <c r="G3880" s="3"/>
      <c r="N3880" s="3"/>
      <c r="Q3880" s="3"/>
      <c r="R3880" s="3"/>
      <c r="S3880" s="3"/>
      <c r="V3880" s="3"/>
      <c r="W3880" s="3"/>
      <c r="X3880" s="3"/>
      <c r="Y3880" s="3"/>
      <c r="Z3880" s="3"/>
      <c r="AA3880" s="3"/>
      <c r="AB3880" s="3"/>
    </row>
    <row r="3881" spans="1:28" x14ac:dyDescent="0.3">
      <c r="A3881" s="2"/>
      <c r="F3881" s="3"/>
      <c r="G3881" s="3"/>
      <c r="N3881" s="3"/>
      <c r="Q3881" s="3"/>
      <c r="R3881" s="3"/>
      <c r="S3881" s="3"/>
      <c r="V3881" s="3"/>
      <c r="W3881" s="3"/>
      <c r="X3881" s="3"/>
      <c r="Y3881" s="3"/>
      <c r="Z3881" s="3"/>
      <c r="AA3881" s="3"/>
      <c r="AB3881" s="3"/>
    </row>
    <row r="3882" spans="1:28" x14ac:dyDescent="0.3">
      <c r="A3882" s="2"/>
      <c r="F3882" s="3"/>
      <c r="G3882" s="3"/>
      <c r="N3882" s="3"/>
      <c r="Q3882" s="3"/>
      <c r="R3882" s="3"/>
      <c r="S3882" s="3"/>
      <c r="V3882" s="3"/>
      <c r="W3882" s="3"/>
      <c r="X3882" s="3"/>
      <c r="Y3882" s="3"/>
      <c r="Z3882" s="3"/>
      <c r="AA3882" s="3"/>
      <c r="AB3882" s="3"/>
    </row>
    <row r="3883" spans="1:28" x14ac:dyDescent="0.3">
      <c r="A3883" s="2"/>
      <c r="F3883" s="3"/>
      <c r="G3883" s="3"/>
      <c r="N3883" s="3"/>
      <c r="Q3883" s="3"/>
      <c r="R3883" s="3"/>
      <c r="S3883" s="3"/>
      <c r="V3883" s="3"/>
      <c r="W3883" s="3"/>
      <c r="X3883" s="3"/>
      <c r="Y3883" s="3"/>
      <c r="Z3883" s="3"/>
      <c r="AA3883" s="3"/>
      <c r="AB3883" s="3"/>
    </row>
    <row r="3884" spans="1:28" x14ac:dyDescent="0.3">
      <c r="A3884" s="2"/>
      <c r="F3884" s="3"/>
      <c r="G3884" s="3"/>
      <c r="N3884" s="3"/>
      <c r="Q3884" s="3"/>
      <c r="R3884" s="3"/>
      <c r="S3884" s="3"/>
      <c r="V3884" s="3"/>
      <c r="W3884" s="3"/>
      <c r="X3884" s="3"/>
      <c r="Y3884" s="3"/>
      <c r="Z3884" s="3"/>
      <c r="AA3884" s="3"/>
      <c r="AB3884" s="3"/>
    </row>
    <row r="3885" spans="1:28" x14ac:dyDescent="0.3">
      <c r="A3885" s="2"/>
      <c r="F3885" s="3"/>
      <c r="G3885" s="3"/>
      <c r="N3885" s="3"/>
      <c r="Q3885" s="3"/>
      <c r="R3885" s="3"/>
      <c r="S3885" s="3"/>
      <c r="V3885" s="3"/>
      <c r="W3885" s="3"/>
      <c r="X3885" s="3"/>
      <c r="Y3885" s="3"/>
      <c r="Z3885" s="3"/>
      <c r="AA3885" s="3"/>
      <c r="AB3885" s="3"/>
    </row>
    <row r="3886" spans="1:28" x14ac:dyDescent="0.3">
      <c r="A3886" s="2"/>
      <c r="F3886" s="3"/>
      <c r="G3886" s="3"/>
      <c r="N3886" s="3"/>
      <c r="Q3886" s="3"/>
      <c r="R3886" s="3"/>
      <c r="S3886" s="3"/>
      <c r="V3886" s="3"/>
      <c r="W3886" s="3"/>
      <c r="X3886" s="3"/>
      <c r="Y3886" s="3"/>
      <c r="Z3886" s="3"/>
      <c r="AA3886" s="3"/>
      <c r="AB3886" s="3"/>
    </row>
    <row r="3887" spans="1:28" x14ac:dyDescent="0.3">
      <c r="A3887" s="2"/>
      <c r="F3887" s="3"/>
      <c r="G3887" s="3"/>
      <c r="N3887" s="3"/>
      <c r="Q3887" s="3"/>
      <c r="R3887" s="3"/>
      <c r="S3887" s="3"/>
      <c r="V3887" s="3"/>
      <c r="W3887" s="3"/>
      <c r="X3887" s="3"/>
      <c r="Y3887" s="3"/>
      <c r="Z3887" s="3"/>
      <c r="AA3887" s="3"/>
      <c r="AB3887" s="3"/>
    </row>
    <row r="3888" spans="1:28" x14ac:dyDescent="0.3">
      <c r="A3888" s="2"/>
      <c r="F3888" s="3"/>
      <c r="G3888" s="3"/>
      <c r="N3888" s="3"/>
      <c r="Q3888" s="3"/>
      <c r="R3888" s="3"/>
      <c r="S3888" s="3"/>
      <c r="V3888" s="3"/>
      <c r="W3888" s="3"/>
      <c r="X3888" s="3"/>
      <c r="Y3888" s="3"/>
      <c r="Z3888" s="3"/>
      <c r="AA3888" s="3"/>
      <c r="AB3888" s="3"/>
    </row>
    <row r="3889" spans="1:28" x14ac:dyDescent="0.3">
      <c r="A3889" s="2"/>
      <c r="F3889" s="3"/>
      <c r="G3889" s="3"/>
      <c r="N3889" s="3"/>
      <c r="Q3889" s="3"/>
      <c r="R3889" s="3"/>
      <c r="S3889" s="3"/>
      <c r="V3889" s="3"/>
      <c r="W3889" s="3"/>
      <c r="X3889" s="3"/>
      <c r="Y3889" s="3"/>
      <c r="Z3889" s="3"/>
      <c r="AA3889" s="3"/>
      <c r="AB3889" s="3"/>
    </row>
    <row r="3890" spans="1:28" x14ac:dyDescent="0.3">
      <c r="A3890" s="2"/>
      <c r="F3890" s="3"/>
      <c r="G3890" s="3"/>
      <c r="N3890" s="3"/>
      <c r="Q3890" s="3"/>
      <c r="R3890" s="3"/>
      <c r="S3890" s="3"/>
      <c r="V3890" s="3"/>
      <c r="W3890" s="3"/>
      <c r="X3890" s="3"/>
      <c r="Y3890" s="3"/>
      <c r="Z3890" s="3"/>
      <c r="AA3890" s="3"/>
      <c r="AB3890" s="3"/>
    </row>
    <row r="3891" spans="1:28" x14ac:dyDescent="0.3">
      <c r="A3891" s="2"/>
      <c r="F3891" s="3"/>
      <c r="G3891" s="3"/>
      <c r="N3891" s="3"/>
      <c r="Q3891" s="3"/>
      <c r="R3891" s="3"/>
      <c r="S3891" s="3"/>
      <c r="V3891" s="3"/>
      <c r="W3891" s="3"/>
      <c r="X3891" s="3"/>
      <c r="Y3891" s="3"/>
      <c r="Z3891" s="3"/>
      <c r="AA3891" s="3"/>
      <c r="AB3891" s="3"/>
    </row>
    <row r="3892" spans="1:28" x14ac:dyDescent="0.3">
      <c r="A3892" s="2"/>
      <c r="F3892" s="3"/>
      <c r="G3892" s="3"/>
      <c r="N3892" s="3"/>
      <c r="Q3892" s="3"/>
      <c r="R3892" s="3"/>
      <c r="S3892" s="3"/>
      <c r="V3892" s="3"/>
      <c r="W3892" s="3"/>
      <c r="X3892" s="3"/>
      <c r="Y3892" s="3"/>
      <c r="Z3892" s="3"/>
      <c r="AA3892" s="3"/>
      <c r="AB3892" s="3"/>
    </row>
    <row r="3893" spans="1:28" x14ac:dyDescent="0.3">
      <c r="A3893" s="2"/>
      <c r="F3893" s="3"/>
      <c r="G3893" s="3"/>
      <c r="N3893" s="3"/>
      <c r="Q3893" s="3"/>
      <c r="R3893" s="3"/>
      <c r="S3893" s="3"/>
      <c r="V3893" s="3"/>
      <c r="W3893" s="3"/>
      <c r="X3893" s="3"/>
      <c r="Y3893" s="3"/>
      <c r="Z3893" s="3"/>
      <c r="AA3893" s="3"/>
      <c r="AB3893" s="3"/>
    </row>
    <row r="3894" spans="1:28" x14ac:dyDescent="0.3">
      <c r="A3894" s="2"/>
      <c r="F3894" s="3"/>
      <c r="G3894" s="3"/>
      <c r="N3894" s="3"/>
      <c r="Q3894" s="3"/>
      <c r="R3894" s="3"/>
      <c r="S3894" s="3"/>
      <c r="V3894" s="3"/>
      <c r="W3894" s="3"/>
      <c r="X3894" s="3"/>
      <c r="Y3894" s="3"/>
      <c r="Z3894" s="3"/>
      <c r="AA3894" s="3"/>
      <c r="AB3894" s="3"/>
    </row>
    <row r="3895" spans="1:28" x14ac:dyDescent="0.3">
      <c r="A3895" s="2"/>
      <c r="F3895" s="3"/>
      <c r="G3895" s="3"/>
      <c r="N3895" s="3"/>
      <c r="Q3895" s="3"/>
      <c r="R3895" s="3"/>
      <c r="S3895" s="3"/>
      <c r="V3895" s="3"/>
      <c r="W3895" s="3"/>
      <c r="X3895" s="3"/>
      <c r="Y3895" s="3"/>
      <c r="Z3895" s="3"/>
      <c r="AA3895" s="3"/>
      <c r="AB3895" s="3"/>
    </row>
    <row r="3896" spans="1:28" x14ac:dyDescent="0.3">
      <c r="A3896" s="2"/>
      <c r="F3896" s="3"/>
      <c r="G3896" s="3"/>
      <c r="N3896" s="3"/>
      <c r="Q3896" s="3"/>
      <c r="R3896" s="3"/>
      <c r="S3896" s="3"/>
      <c r="V3896" s="3"/>
      <c r="W3896" s="3"/>
      <c r="X3896" s="3"/>
      <c r="Y3896" s="3"/>
      <c r="Z3896" s="3"/>
      <c r="AA3896" s="3"/>
      <c r="AB3896" s="3"/>
    </row>
    <row r="3897" spans="1:28" x14ac:dyDescent="0.3">
      <c r="A3897" s="2"/>
      <c r="F3897" s="3"/>
      <c r="G3897" s="3"/>
      <c r="N3897" s="3"/>
      <c r="Q3897" s="3"/>
      <c r="R3897" s="3"/>
      <c r="S3897" s="3"/>
      <c r="V3897" s="3"/>
      <c r="W3897" s="3"/>
      <c r="X3897" s="3"/>
      <c r="Y3897" s="3"/>
      <c r="Z3897" s="3"/>
      <c r="AA3897" s="3"/>
      <c r="AB3897" s="3"/>
    </row>
    <row r="3898" spans="1:28" x14ac:dyDescent="0.3">
      <c r="A3898" s="2"/>
      <c r="F3898" s="3"/>
      <c r="G3898" s="3"/>
      <c r="N3898" s="3"/>
      <c r="Q3898" s="3"/>
      <c r="R3898" s="3"/>
      <c r="S3898" s="3"/>
      <c r="V3898" s="3"/>
      <c r="W3898" s="3"/>
      <c r="X3898" s="3"/>
      <c r="Y3898" s="3"/>
      <c r="Z3898" s="3"/>
      <c r="AA3898" s="3"/>
      <c r="AB3898" s="3"/>
    </row>
    <row r="3899" spans="1:28" x14ac:dyDescent="0.3">
      <c r="A3899" s="2"/>
      <c r="F3899" s="3"/>
      <c r="G3899" s="3"/>
      <c r="N3899" s="3"/>
      <c r="Q3899" s="3"/>
      <c r="R3899" s="3"/>
      <c r="S3899" s="3"/>
      <c r="V3899" s="3"/>
      <c r="W3899" s="3"/>
      <c r="X3899" s="3"/>
      <c r="Y3899" s="3"/>
      <c r="Z3899" s="3"/>
      <c r="AA3899" s="3"/>
      <c r="AB3899" s="3"/>
    </row>
    <row r="3900" spans="1:28" x14ac:dyDescent="0.3">
      <c r="A3900" s="2"/>
      <c r="F3900" s="3"/>
      <c r="G3900" s="3"/>
      <c r="N3900" s="3"/>
      <c r="Q3900" s="3"/>
      <c r="R3900" s="3"/>
      <c r="S3900" s="3"/>
      <c r="V3900" s="3"/>
      <c r="W3900" s="3"/>
      <c r="X3900" s="3"/>
      <c r="Y3900" s="3"/>
      <c r="Z3900" s="3"/>
      <c r="AA3900" s="3"/>
      <c r="AB3900" s="3"/>
    </row>
    <row r="3901" spans="1:28" x14ac:dyDescent="0.3">
      <c r="A3901" s="2"/>
      <c r="F3901" s="3"/>
      <c r="G3901" s="3"/>
      <c r="N3901" s="3"/>
      <c r="Q3901" s="3"/>
      <c r="R3901" s="3"/>
      <c r="S3901" s="3"/>
      <c r="V3901" s="3"/>
      <c r="W3901" s="3"/>
      <c r="X3901" s="3"/>
      <c r="Y3901" s="3"/>
      <c r="Z3901" s="3"/>
      <c r="AA3901" s="3"/>
      <c r="AB3901" s="3"/>
    </row>
    <row r="3902" spans="1:28" x14ac:dyDescent="0.3">
      <c r="A3902" s="2"/>
      <c r="F3902" s="3"/>
      <c r="G3902" s="3"/>
      <c r="N3902" s="3"/>
      <c r="Q3902" s="3"/>
      <c r="R3902" s="3"/>
      <c r="S3902" s="3"/>
      <c r="V3902" s="3"/>
      <c r="W3902" s="3"/>
      <c r="X3902" s="3"/>
      <c r="Y3902" s="3"/>
      <c r="Z3902" s="3"/>
      <c r="AA3902" s="3"/>
      <c r="AB3902" s="3"/>
    </row>
    <row r="3903" spans="1:28" x14ac:dyDescent="0.3">
      <c r="A3903" s="2"/>
      <c r="F3903" s="3"/>
      <c r="G3903" s="3"/>
      <c r="N3903" s="3"/>
      <c r="Q3903" s="3"/>
      <c r="R3903" s="3"/>
      <c r="S3903" s="3"/>
      <c r="V3903" s="3"/>
      <c r="W3903" s="3"/>
      <c r="X3903" s="3"/>
      <c r="Y3903" s="3"/>
      <c r="Z3903" s="3"/>
      <c r="AA3903" s="3"/>
      <c r="AB3903" s="3"/>
    </row>
    <row r="3904" spans="1:28" x14ac:dyDescent="0.3">
      <c r="A3904" s="2"/>
      <c r="F3904" s="3"/>
      <c r="G3904" s="3"/>
      <c r="N3904" s="3"/>
      <c r="Q3904" s="3"/>
      <c r="R3904" s="3"/>
      <c r="S3904" s="3"/>
      <c r="V3904" s="3"/>
      <c r="W3904" s="3"/>
      <c r="X3904" s="3"/>
      <c r="Y3904" s="3"/>
      <c r="Z3904" s="3"/>
      <c r="AA3904" s="3"/>
      <c r="AB3904" s="3"/>
    </row>
    <row r="3905" spans="1:28" x14ac:dyDescent="0.3">
      <c r="A3905" s="2"/>
      <c r="F3905" s="3"/>
      <c r="G3905" s="3"/>
      <c r="N3905" s="3"/>
      <c r="Q3905" s="3"/>
      <c r="R3905" s="3"/>
      <c r="S3905" s="3"/>
      <c r="V3905" s="3"/>
      <c r="W3905" s="3"/>
      <c r="X3905" s="3"/>
      <c r="Y3905" s="3"/>
      <c r="Z3905" s="3"/>
      <c r="AA3905" s="3"/>
      <c r="AB3905" s="3"/>
    </row>
    <row r="3906" spans="1:28" x14ac:dyDescent="0.3">
      <c r="A3906" s="2"/>
      <c r="F3906" s="3"/>
      <c r="G3906" s="3"/>
      <c r="N3906" s="3"/>
      <c r="Q3906" s="3"/>
      <c r="R3906" s="3"/>
      <c r="S3906" s="3"/>
      <c r="V3906" s="3"/>
      <c r="W3906" s="3"/>
      <c r="X3906" s="3"/>
      <c r="Y3906" s="3"/>
      <c r="Z3906" s="3"/>
      <c r="AA3906" s="3"/>
      <c r="AB3906" s="3"/>
    </row>
    <row r="3907" spans="1:28" x14ac:dyDescent="0.3">
      <c r="A3907" s="2"/>
      <c r="F3907" s="3"/>
      <c r="G3907" s="3"/>
      <c r="N3907" s="3"/>
      <c r="Q3907" s="3"/>
      <c r="R3907" s="3"/>
      <c r="S3907" s="3"/>
      <c r="V3907" s="3"/>
      <c r="W3907" s="3"/>
      <c r="X3907" s="3"/>
      <c r="Y3907" s="3"/>
      <c r="Z3907" s="3"/>
      <c r="AA3907" s="3"/>
      <c r="AB3907" s="3"/>
    </row>
    <row r="3908" spans="1:28" x14ac:dyDescent="0.3">
      <c r="A3908" s="2"/>
      <c r="F3908" s="3"/>
      <c r="G3908" s="3"/>
      <c r="N3908" s="3"/>
      <c r="Q3908" s="3"/>
      <c r="R3908" s="3"/>
      <c r="S3908" s="3"/>
      <c r="V3908" s="3"/>
      <c r="W3908" s="3"/>
      <c r="X3908" s="3"/>
      <c r="Y3908" s="3"/>
      <c r="Z3908" s="3"/>
      <c r="AA3908" s="3"/>
      <c r="AB3908" s="3"/>
    </row>
    <row r="3909" spans="1:28" x14ac:dyDescent="0.3">
      <c r="A3909" s="2"/>
      <c r="F3909" s="3"/>
      <c r="G3909" s="3"/>
      <c r="N3909" s="3"/>
      <c r="Q3909" s="3"/>
      <c r="R3909" s="3"/>
      <c r="S3909" s="3"/>
      <c r="V3909" s="3"/>
      <c r="W3909" s="3"/>
      <c r="X3909" s="3"/>
      <c r="Y3909" s="3"/>
      <c r="Z3909" s="3"/>
      <c r="AA3909" s="3"/>
      <c r="AB3909" s="3"/>
    </row>
    <row r="3910" spans="1:28" x14ac:dyDescent="0.3">
      <c r="A3910" s="2"/>
      <c r="F3910" s="3"/>
      <c r="G3910" s="3"/>
      <c r="N3910" s="3"/>
      <c r="Q3910" s="3"/>
      <c r="R3910" s="3"/>
      <c r="S3910" s="3"/>
      <c r="V3910" s="3"/>
      <c r="W3910" s="3"/>
      <c r="X3910" s="3"/>
      <c r="Y3910" s="3"/>
      <c r="Z3910" s="3"/>
      <c r="AA3910" s="3"/>
      <c r="AB3910" s="3"/>
    </row>
    <row r="3911" spans="1:28" x14ac:dyDescent="0.3">
      <c r="A3911" s="2"/>
      <c r="F3911" s="3"/>
      <c r="G3911" s="3"/>
      <c r="N3911" s="3"/>
      <c r="Q3911" s="3"/>
      <c r="R3911" s="3"/>
      <c r="S3911" s="3"/>
      <c r="V3911" s="3"/>
      <c r="W3911" s="3"/>
      <c r="X3911" s="3"/>
      <c r="Y3911" s="3"/>
      <c r="Z3911" s="3"/>
      <c r="AA3911" s="3"/>
      <c r="AB3911" s="3"/>
    </row>
    <row r="3912" spans="1:28" x14ac:dyDescent="0.3">
      <c r="A3912" s="2"/>
      <c r="F3912" s="3"/>
      <c r="G3912" s="3"/>
      <c r="N3912" s="3"/>
      <c r="Q3912" s="3"/>
      <c r="R3912" s="3"/>
      <c r="S3912" s="3"/>
      <c r="V3912" s="3"/>
      <c r="W3912" s="3"/>
      <c r="X3912" s="3"/>
      <c r="Y3912" s="3"/>
      <c r="Z3912" s="3"/>
      <c r="AA3912" s="3"/>
      <c r="AB3912" s="3"/>
    </row>
    <row r="3913" spans="1:28" x14ac:dyDescent="0.3">
      <c r="A3913" s="2"/>
      <c r="F3913" s="3"/>
      <c r="G3913" s="3"/>
      <c r="N3913" s="3"/>
      <c r="Q3913" s="3"/>
      <c r="R3913" s="3"/>
      <c r="S3913" s="3"/>
      <c r="V3913" s="3"/>
      <c r="W3913" s="3"/>
      <c r="X3913" s="3"/>
      <c r="Y3913" s="3"/>
      <c r="Z3913" s="3"/>
      <c r="AA3913" s="3"/>
      <c r="AB3913" s="3"/>
    </row>
    <row r="3914" spans="1:28" x14ac:dyDescent="0.3">
      <c r="A3914" s="2"/>
      <c r="F3914" s="3"/>
      <c r="G3914" s="3"/>
      <c r="N3914" s="3"/>
      <c r="Q3914" s="3"/>
      <c r="R3914" s="3"/>
      <c r="S3914" s="3"/>
      <c r="V3914" s="3"/>
      <c r="W3914" s="3"/>
      <c r="X3914" s="3"/>
      <c r="Y3914" s="3"/>
      <c r="Z3914" s="3"/>
      <c r="AA3914" s="3"/>
      <c r="AB3914" s="3"/>
    </row>
    <row r="3915" spans="1:28" x14ac:dyDescent="0.3">
      <c r="A3915" s="2"/>
      <c r="F3915" s="3"/>
      <c r="G3915" s="3"/>
      <c r="N3915" s="3"/>
      <c r="Q3915" s="3"/>
      <c r="R3915" s="3"/>
      <c r="S3915" s="3"/>
      <c r="V3915" s="3"/>
      <c r="W3915" s="3"/>
      <c r="X3915" s="3"/>
      <c r="Y3915" s="3"/>
      <c r="Z3915" s="3"/>
      <c r="AA3915" s="3"/>
      <c r="AB3915" s="3"/>
    </row>
    <row r="3916" spans="1:28" x14ac:dyDescent="0.3">
      <c r="A3916" s="2"/>
      <c r="F3916" s="3"/>
      <c r="G3916" s="3"/>
      <c r="N3916" s="3"/>
      <c r="Q3916" s="3"/>
      <c r="R3916" s="3"/>
      <c r="S3916" s="3"/>
      <c r="V3916" s="3"/>
      <c r="W3916" s="3"/>
      <c r="X3916" s="3"/>
      <c r="Y3916" s="3"/>
      <c r="Z3916" s="3"/>
      <c r="AA3916" s="3"/>
      <c r="AB3916" s="3"/>
    </row>
    <row r="3917" spans="1:28" x14ac:dyDescent="0.3">
      <c r="A3917" s="2"/>
      <c r="F3917" s="3"/>
      <c r="G3917" s="3"/>
      <c r="N3917" s="3"/>
      <c r="Q3917" s="3"/>
      <c r="R3917" s="3"/>
      <c r="S3917" s="3"/>
      <c r="V3917" s="3"/>
      <c r="W3917" s="3"/>
      <c r="X3917" s="3"/>
      <c r="Y3917" s="3"/>
      <c r="Z3917" s="3"/>
      <c r="AA3917" s="3"/>
      <c r="AB3917" s="3"/>
    </row>
    <row r="3918" spans="1:28" x14ac:dyDescent="0.3">
      <c r="A3918" s="2"/>
      <c r="F3918" s="3"/>
      <c r="G3918" s="3"/>
      <c r="N3918" s="3"/>
      <c r="Q3918" s="3"/>
      <c r="R3918" s="3"/>
      <c r="S3918" s="3"/>
      <c r="V3918" s="3"/>
      <c r="W3918" s="3"/>
      <c r="X3918" s="3"/>
      <c r="Y3918" s="3"/>
      <c r="Z3918" s="3"/>
      <c r="AA3918" s="3"/>
      <c r="AB3918" s="3"/>
    </row>
    <row r="3919" spans="1:28" x14ac:dyDescent="0.3">
      <c r="A3919" s="2"/>
      <c r="F3919" s="3"/>
      <c r="G3919" s="3"/>
      <c r="N3919" s="3"/>
      <c r="Q3919" s="3"/>
      <c r="R3919" s="3"/>
      <c r="S3919" s="3"/>
      <c r="V3919" s="3"/>
      <c r="W3919" s="3"/>
      <c r="X3919" s="3"/>
      <c r="Y3919" s="3"/>
      <c r="Z3919" s="3"/>
      <c r="AA3919" s="3"/>
      <c r="AB3919" s="3"/>
    </row>
    <row r="3920" spans="1:28" x14ac:dyDescent="0.3">
      <c r="A3920" s="2"/>
      <c r="F3920" s="3"/>
      <c r="G3920" s="3"/>
      <c r="N3920" s="3"/>
      <c r="Q3920" s="3"/>
      <c r="R3920" s="3"/>
      <c r="S3920" s="3"/>
      <c r="V3920" s="3"/>
      <c r="W3920" s="3"/>
      <c r="X3920" s="3"/>
      <c r="Y3920" s="3"/>
      <c r="Z3920" s="3"/>
      <c r="AA3920" s="3"/>
      <c r="AB3920" s="3"/>
    </row>
    <row r="3921" spans="1:28" x14ac:dyDescent="0.3">
      <c r="A3921" s="2"/>
      <c r="F3921" s="3"/>
      <c r="G3921" s="3"/>
      <c r="N3921" s="3"/>
      <c r="Q3921" s="3"/>
      <c r="R3921" s="3"/>
      <c r="S3921" s="3"/>
      <c r="V3921" s="3"/>
      <c r="W3921" s="3"/>
      <c r="X3921" s="3"/>
      <c r="Y3921" s="3"/>
      <c r="Z3921" s="3"/>
      <c r="AA3921" s="3"/>
      <c r="AB3921" s="3"/>
    </row>
    <row r="3922" spans="1:28" x14ac:dyDescent="0.3">
      <c r="A3922" s="2"/>
      <c r="F3922" s="3"/>
      <c r="G3922" s="3"/>
      <c r="N3922" s="3"/>
      <c r="Q3922" s="3"/>
      <c r="R3922" s="3"/>
      <c r="S3922" s="3"/>
      <c r="V3922" s="3"/>
      <c r="W3922" s="3"/>
      <c r="X3922" s="3"/>
      <c r="Y3922" s="3"/>
      <c r="Z3922" s="3"/>
      <c r="AA3922" s="3"/>
      <c r="AB3922" s="3"/>
    </row>
    <row r="3923" spans="1:28" x14ac:dyDescent="0.3">
      <c r="A3923" s="2"/>
      <c r="F3923" s="3"/>
      <c r="G3923" s="3"/>
      <c r="N3923" s="3"/>
      <c r="Q3923" s="3"/>
      <c r="R3923" s="3"/>
      <c r="S3923" s="3"/>
      <c r="V3923" s="3"/>
      <c r="W3923" s="3"/>
      <c r="X3923" s="3"/>
      <c r="Y3923" s="3"/>
      <c r="Z3923" s="3"/>
      <c r="AA3923" s="3"/>
      <c r="AB3923" s="3"/>
    </row>
    <row r="3924" spans="1:28" x14ac:dyDescent="0.3">
      <c r="A3924" s="2"/>
      <c r="F3924" s="3"/>
      <c r="G3924" s="3"/>
      <c r="N3924" s="3"/>
      <c r="Q3924" s="3"/>
      <c r="R3924" s="3"/>
      <c r="S3924" s="3"/>
      <c r="V3924" s="3"/>
      <c r="W3924" s="3"/>
      <c r="X3924" s="3"/>
      <c r="Y3924" s="3"/>
      <c r="Z3924" s="3"/>
      <c r="AA3924" s="3"/>
      <c r="AB3924" s="3"/>
    </row>
    <row r="3925" spans="1:28" x14ac:dyDescent="0.3">
      <c r="A3925" s="2"/>
      <c r="F3925" s="3"/>
      <c r="G3925" s="3"/>
      <c r="N3925" s="3"/>
      <c r="Q3925" s="3"/>
      <c r="R3925" s="3"/>
      <c r="S3925" s="3"/>
      <c r="V3925" s="3"/>
      <c r="W3925" s="3"/>
      <c r="X3925" s="3"/>
      <c r="Y3925" s="3"/>
      <c r="Z3925" s="3"/>
      <c r="AA3925" s="3"/>
      <c r="AB3925" s="3"/>
    </row>
    <row r="3926" spans="1:28" x14ac:dyDescent="0.3">
      <c r="A3926" s="2"/>
      <c r="F3926" s="3"/>
      <c r="G3926" s="3"/>
      <c r="N3926" s="3"/>
      <c r="Q3926" s="3"/>
      <c r="R3926" s="3"/>
      <c r="S3926" s="3"/>
      <c r="V3926" s="3"/>
      <c r="W3926" s="3"/>
      <c r="X3926" s="3"/>
      <c r="Y3926" s="3"/>
      <c r="Z3926" s="3"/>
      <c r="AA3926" s="3"/>
      <c r="AB3926" s="3"/>
    </row>
    <row r="3927" spans="1:28" x14ac:dyDescent="0.3">
      <c r="A3927" s="2"/>
      <c r="F3927" s="3"/>
      <c r="G3927" s="3"/>
      <c r="N3927" s="3"/>
      <c r="Q3927" s="3"/>
      <c r="R3927" s="3"/>
      <c r="S3927" s="3"/>
      <c r="V3927" s="3"/>
      <c r="W3927" s="3"/>
      <c r="X3927" s="3"/>
      <c r="Y3927" s="3"/>
      <c r="Z3927" s="3"/>
      <c r="AA3927" s="3"/>
      <c r="AB3927" s="3"/>
    </row>
    <row r="3928" spans="1:28" x14ac:dyDescent="0.3">
      <c r="A3928" s="2"/>
      <c r="F3928" s="3"/>
      <c r="G3928" s="3"/>
      <c r="N3928" s="3"/>
      <c r="Q3928" s="3"/>
      <c r="R3928" s="3"/>
      <c r="S3928" s="3"/>
      <c r="V3928" s="3"/>
      <c r="W3928" s="3"/>
      <c r="X3928" s="3"/>
      <c r="Y3928" s="3"/>
      <c r="Z3928" s="3"/>
      <c r="AA3928" s="3"/>
      <c r="AB3928" s="3"/>
    </row>
    <row r="3929" spans="1:28" x14ac:dyDescent="0.3">
      <c r="A3929" s="2"/>
      <c r="F3929" s="3"/>
      <c r="G3929" s="3"/>
      <c r="N3929" s="3"/>
      <c r="Q3929" s="3"/>
      <c r="R3929" s="3"/>
      <c r="S3929" s="3"/>
      <c r="V3929" s="3"/>
      <c r="W3929" s="3"/>
      <c r="X3929" s="3"/>
      <c r="Y3929" s="3"/>
      <c r="Z3929" s="3"/>
      <c r="AA3929" s="3"/>
      <c r="AB3929" s="3"/>
    </row>
    <row r="3930" spans="1:28" x14ac:dyDescent="0.3">
      <c r="A3930" s="2"/>
      <c r="F3930" s="3"/>
      <c r="G3930" s="3"/>
      <c r="N3930" s="3"/>
      <c r="Q3930" s="3"/>
      <c r="R3930" s="3"/>
      <c r="S3930" s="3"/>
      <c r="V3930" s="3"/>
      <c r="W3930" s="3"/>
      <c r="X3930" s="3"/>
      <c r="Y3930" s="3"/>
      <c r="Z3930" s="3"/>
      <c r="AA3930" s="3"/>
      <c r="AB3930" s="3"/>
    </row>
    <row r="3931" spans="1:28" x14ac:dyDescent="0.3">
      <c r="A3931" s="2"/>
      <c r="F3931" s="3"/>
      <c r="G3931" s="3"/>
      <c r="N3931" s="3"/>
      <c r="Q3931" s="3"/>
      <c r="R3931" s="3"/>
      <c r="S3931" s="3"/>
      <c r="V3931" s="3"/>
      <c r="W3931" s="3"/>
      <c r="X3931" s="3"/>
      <c r="Y3931" s="3"/>
      <c r="Z3931" s="3"/>
      <c r="AA3931" s="3"/>
      <c r="AB3931" s="3"/>
    </row>
    <row r="3932" spans="1:28" x14ac:dyDescent="0.3">
      <c r="A3932" s="2"/>
      <c r="F3932" s="3"/>
      <c r="G3932" s="3"/>
      <c r="N3932" s="3"/>
      <c r="Q3932" s="3"/>
      <c r="R3932" s="3"/>
      <c r="S3932" s="3"/>
      <c r="V3932" s="3"/>
      <c r="W3932" s="3"/>
      <c r="X3932" s="3"/>
      <c r="Y3932" s="3"/>
      <c r="Z3932" s="3"/>
      <c r="AA3932" s="3"/>
      <c r="AB3932" s="3"/>
    </row>
    <row r="3933" spans="1:28" x14ac:dyDescent="0.3">
      <c r="A3933" s="2"/>
      <c r="F3933" s="3"/>
      <c r="G3933" s="3"/>
      <c r="N3933" s="3"/>
      <c r="Q3933" s="3"/>
      <c r="R3933" s="3"/>
      <c r="S3933" s="3"/>
      <c r="V3933" s="3"/>
      <c r="W3933" s="3"/>
      <c r="X3933" s="3"/>
      <c r="Y3933" s="3"/>
      <c r="Z3933" s="3"/>
      <c r="AA3933" s="3"/>
      <c r="AB3933" s="3"/>
    </row>
    <row r="3934" spans="1:28" x14ac:dyDescent="0.3">
      <c r="A3934" s="2"/>
      <c r="F3934" s="3"/>
      <c r="G3934" s="3"/>
      <c r="N3934" s="3"/>
      <c r="Q3934" s="3"/>
      <c r="R3934" s="3"/>
      <c r="S3934" s="3"/>
      <c r="V3934" s="3"/>
      <c r="W3934" s="3"/>
      <c r="X3934" s="3"/>
      <c r="Y3934" s="3"/>
      <c r="Z3934" s="3"/>
      <c r="AA3934" s="3"/>
      <c r="AB3934" s="3"/>
    </row>
    <row r="3935" spans="1:28" x14ac:dyDescent="0.3">
      <c r="A3935" s="2"/>
      <c r="F3935" s="3"/>
      <c r="G3935" s="3"/>
      <c r="N3935" s="3"/>
      <c r="Q3935" s="3"/>
      <c r="R3935" s="3"/>
      <c r="S3935" s="3"/>
      <c r="V3935" s="3"/>
      <c r="W3935" s="3"/>
      <c r="X3935" s="3"/>
      <c r="Y3935" s="3"/>
      <c r="Z3935" s="3"/>
      <c r="AA3935" s="3"/>
      <c r="AB3935" s="3"/>
    </row>
    <row r="3936" spans="1:28" x14ac:dyDescent="0.3">
      <c r="A3936" s="2"/>
      <c r="F3936" s="3"/>
      <c r="G3936" s="3"/>
      <c r="N3936" s="3"/>
      <c r="Q3936" s="3"/>
      <c r="R3936" s="3"/>
      <c r="S3936" s="3"/>
      <c r="V3936" s="3"/>
      <c r="W3936" s="3"/>
      <c r="X3936" s="3"/>
      <c r="Y3936" s="3"/>
      <c r="Z3936" s="3"/>
      <c r="AA3936" s="3"/>
      <c r="AB3936" s="3"/>
    </row>
    <row r="3937" spans="1:28" x14ac:dyDescent="0.3">
      <c r="A3937" s="2"/>
      <c r="F3937" s="3"/>
      <c r="G3937" s="3"/>
      <c r="N3937" s="3"/>
      <c r="Q3937" s="3"/>
      <c r="R3937" s="3"/>
      <c r="S3937" s="3"/>
      <c r="V3937" s="3"/>
      <c r="W3937" s="3"/>
      <c r="X3937" s="3"/>
      <c r="Y3937" s="3"/>
      <c r="Z3937" s="3"/>
      <c r="AA3937" s="3"/>
      <c r="AB3937" s="3"/>
    </row>
    <row r="3938" spans="1:28" x14ac:dyDescent="0.3">
      <c r="A3938" s="2"/>
      <c r="F3938" s="3"/>
      <c r="G3938" s="3"/>
      <c r="N3938" s="3"/>
      <c r="Q3938" s="3"/>
      <c r="R3938" s="3"/>
      <c r="S3938" s="3"/>
      <c r="V3938" s="3"/>
      <c r="W3938" s="3"/>
      <c r="X3938" s="3"/>
      <c r="Y3938" s="3"/>
      <c r="Z3938" s="3"/>
      <c r="AA3938" s="3"/>
      <c r="AB3938" s="3"/>
    </row>
    <row r="3939" spans="1:28" x14ac:dyDescent="0.3">
      <c r="A3939" s="2"/>
      <c r="F3939" s="3"/>
      <c r="G3939" s="3"/>
      <c r="N3939" s="3"/>
      <c r="Q3939" s="3"/>
      <c r="R3939" s="3"/>
      <c r="S3939" s="3"/>
      <c r="V3939" s="3"/>
      <c r="W3939" s="3"/>
      <c r="X3939" s="3"/>
      <c r="Y3939" s="3"/>
      <c r="Z3939" s="3"/>
      <c r="AA3939" s="3"/>
      <c r="AB3939" s="3"/>
    </row>
    <row r="3940" spans="1:28" x14ac:dyDescent="0.3">
      <c r="A3940" s="2"/>
      <c r="F3940" s="3"/>
      <c r="G3940" s="3"/>
      <c r="N3940" s="3"/>
      <c r="Q3940" s="3"/>
      <c r="R3940" s="3"/>
      <c r="S3940" s="3"/>
      <c r="V3940" s="3"/>
      <c r="W3940" s="3"/>
      <c r="X3940" s="3"/>
      <c r="Y3940" s="3"/>
      <c r="Z3940" s="3"/>
      <c r="AA3940" s="3"/>
      <c r="AB3940" s="3"/>
    </row>
    <row r="3941" spans="1:28" x14ac:dyDescent="0.3">
      <c r="A3941" s="2"/>
      <c r="F3941" s="3"/>
      <c r="G3941" s="3"/>
      <c r="N3941" s="3"/>
      <c r="Q3941" s="3"/>
      <c r="R3941" s="3"/>
      <c r="S3941" s="3"/>
      <c r="V3941" s="3"/>
      <c r="W3941" s="3"/>
      <c r="X3941" s="3"/>
      <c r="Y3941" s="3"/>
      <c r="Z3941" s="3"/>
      <c r="AA3941" s="3"/>
      <c r="AB3941" s="3"/>
    </row>
    <row r="3942" spans="1:28" x14ac:dyDescent="0.3">
      <c r="A3942" s="2"/>
      <c r="F3942" s="3"/>
      <c r="G3942" s="3"/>
      <c r="N3942" s="3"/>
      <c r="Q3942" s="3"/>
      <c r="R3942" s="3"/>
      <c r="S3942" s="3"/>
      <c r="V3942" s="3"/>
      <c r="W3942" s="3"/>
      <c r="X3942" s="3"/>
      <c r="Y3942" s="3"/>
      <c r="Z3942" s="3"/>
      <c r="AA3942" s="3"/>
      <c r="AB3942" s="3"/>
    </row>
    <row r="3943" spans="1:28" x14ac:dyDescent="0.3">
      <c r="A3943" s="2"/>
      <c r="F3943" s="3"/>
      <c r="G3943" s="3"/>
      <c r="N3943" s="3"/>
      <c r="Q3943" s="3"/>
      <c r="R3943" s="3"/>
      <c r="S3943" s="3"/>
      <c r="V3943" s="3"/>
      <c r="W3943" s="3"/>
      <c r="X3943" s="3"/>
      <c r="Y3943" s="3"/>
      <c r="Z3943" s="3"/>
      <c r="AA3943" s="3"/>
      <c r="AB3943" s="3"/>
    </row>
    <row r="3944" spans="1:28" x14ac:dyDescent="0.3">
      <c r="A3944" s="2"/>
      <c r="F3944" s="3"/>
      <c r="G3944" s="3"/>
      <c r="N3944" s="3"/>
      <c r="Q3944" s="3"/>
      <c r="R3944" s="3"/>
      <c r="S3944" s="3"/>
      <c r="V3944" s="3"/>
      <c r="W3944" s="3"/>
      <c r="X3944" s="3"/>
      <c r="Y3944" s="3"/>
      <c r="Z3944" s="3"/>
      <c r="AA3944" s="3"/>
      <c r="AB3944" s="3"/>
    </row>
    <row r="3945" spans="1:28" x14ac:dyDescent="0.3">
      <c r="A3945" s="2"/>
      <c r="F3945" s="3"/>
      <c r="G3945" s="3"/>
      <c r="N3945" s="3"/>
      <c r="Q3945" s="3"/>
      <c r="R3945" s="3"/>
      <c r="S3945" s="3"/>
      <c r="V3945" s="3"/>
      <c r="W3945" s="3"/>
      <c r="X3945" s="3"/>
      <c r="Y3945" s="3"/>
      <c r="Z3945" s="3"/>
      <c r="AA3945" s="3"/>
      <c r="AB3945" s="3"/>
    </row>
    <row r="3946" spans="1:28" x14ac:dyDescent="0.3">
      <c r="A3946" s="2"/>
      <c r="F3946" s="3"/>
      <c r="G3946" s="3"/>
      <c r="N3946" s="3"/>
      <c r="Q3946" s="3"/>
      <c r="R3946" s="3"/>
      <c r="S3946" s="3"/>
      <c r="V3946" s="3"/>
      <c r="W3946" s="3"/>
      <c r="X3946" s="3"/>
      <c r="Y3946" s="3"/>
      <c r="Z3946" s="3"/>
      <c r="AA3946" s="3"/>
      <c r="AB3946" s="3"/>
    </row>
    <row r="3947" spans="1:28" x14ac:dyDescent="0.3">
      <c r="A3947" s="2"/>
      <c r="F3947" s="3"/>
      <c r="G3947" s="3"/>
      <c r="N3947" s="3"/>
      <c r="Q3947" s="3"/>
      <c r="R3947" s="3"/>
      <c r="S3947" s="3"/>
      <c r="V3947" s="3"/>
      <c r="W3947" s="3"/>
      <c r="X3947" s="3"/>
      <c r="Y3947" s="3"/>
      <c r="Z3947" s="3"/>
      <c r="AA3947" s="3"/>
      <c r="AB3947" s="3"/>
    </row>
    <row r="3948" spans="1:28" x14ac:dyDescent="0.3">
      <c r="A3948" s="2"/>
      <c r="F3948" s="3"/>
      <c r="G3948" s="3"/>
      <c r="N3948" s="3"/>
      <c r="Q3948" s="3"/>
      <c r="R3948" s="3"/>
      <c r="S3948" s="3"/>
      <c r="V3948" s="3"/>
      <c r="W3948" s="3"/>
      <c r="X3948" s="3"/>
      <c r="Y3948" s="3"/>
      <c r="Z3948" s="3"/>
      <c r="AA3948" s="3"/>
      <c r="AB3948" s="3"/>
    </row>
    <row r="3949" spans="1:28" x14ac:dyDescent="0.3">
      <c r="A3949" s="2"/>
      <c r="F3949" s="3"/>
      <c r="G3949" s="3"/>
      <c r="N3949" s="3"/>
      <c r="Q3949" s="3"/>
      <c r="R3949" s="3"/>
      <c r="S3949" s="3"/>
      <c r="V3949" s="3"/>
      <c r="W3949" s="3"/>
      <c r="X3949" s="3"/>
      <c r="Y3949" s="3"/>
      <c r="Z3949" s="3"/>
      <c r="AA3949" s="3"/>
      <c r="AB3949" s="3"/>
    </row>
    <row r="3950" spans="1:28" x14ac:dyDescent="0.3">
      <c r="A3950" s="2"/>
      <c r="F3950" s="3"/>
      <c r="G3950" s="3"/>
      <c r="N3950" s="3"/>
      <c r="Q3950" s="3"/>
      <c r="R3950" s="3"/>
      <c r="S3950" s="3"/>
      <c r="V3950" s="3"/>
      <c r="W3950" s="3"/>
      <c r="X3950" s="3"/>
      <c r="Y3950" s="3"/>
      <c r="Z3950" s="3"/>
      <c r="AA3950" s="3"/>
      <c r="AB3950" s="3"/>
    </row>
    <row r="3951" spans="1:28" x14ac:dyDescent="0.3">
      <c r="A3951" s="2"/>
      <c r="F3951" s="3"/>
      <c r="G3951" s="3"/>
      <c r="N3951" s="3"/>
      <c r="Q3951" s="3"/>
      <c r="R3951" s="3"/>
      <c r="S3951" s="3"/>
      <c r="V3951" s="3"/>
      <c r="W3951" s="3"/>
      <c r="X3951" s="3"/>
      <c r="Y3951" s="3"/>
      <c r="Z3951" s="3"/>
      <c r="AA3951" s="3"/>
      <c r="AB3951" s="3"/>
    </row>
    <row r="3952" spans="1:28" x14ac:dyDescent="0.3">
      <c r="A3952" s="2"/>
      <c r="F3952" s="3"/>
      <c r="G3952" s="3"/>
      <c r="N3952" s="3"/>
      <c r="Q3952" s="3"/>
      <c r="R3952" s="3"/>
      <c r="S3952" s="3"/>
      <c r="V3952" s="3"/>
      <c r="W3952" s="3"/>
      <c r="X3952" s="3"/>
      <c r="Y3952" s="3"/>
      <c r="Z3952" s="3"/>
      <c r="AA3952" s="3"/>
      <c r="AB3952" s="3"/>
    </row>
    <row r="3953" spans="1:28" x14ac:dyDescent="0.3">
      <c r="A3953" s="2"/>
      <c r="F3953" s="3"/>
      <c r="G3953" s="3"/>
      <c r="N3953" s="3"/>
      <c r="Q3953" s="3"/>
      <c r="R3953" s="3"/>
      <c r="S3953" s="3"/>
      <c r="V3953" s="3"/>
      <c r="W3953" s="3"/>
      <c r="X3953" s="3"/>
      <c r="Y3953" s="3"/>
      <c r="Z3953" s="3"/>
      <c r="AA3953" s="3"/>
      <c r="AB3953" s="3"/>
    </row>
    <row r="3954" spans="1:28" x14ac:dyDescent="0.3">
      <c r="A3954" s="2"/>
      <c r="F3954" s="3"/>
      <c r="G3954" s="3"/>
      <c r="N3954" s="3"/>
      <c r="Q3954" s="3"/>
      <c r="R3954" s="3"/>
      <c r="S3954" s="3"/>
      <c r="V3954" s="3"/>
      <c r="W3954" s="3"/>
      <c r="X3954" s="3"/>
      <c r="Y3954" s="3"/>
      <c r="Z3954" s="3"/>
      <c r="AA3954" s="3"/>
      <c r="AB3954" s="3"/>
    </row>
    <row r="3955" spans="1:28" x14ac:dyDescent="0.3">
      <c r="A3955" s="2"/>
      <c r="F3955" s="3"/>
      <c r="G3955" s="3"/>
      <c r="N3955" s="3"/>
      <c r="Q3955" s="3"/>
      <c r="R3955" s="3"/>
      <c r="S3955" s="3"/>
      <c r="V3955" s="3"/>
      <c r="W3955" s="3"/>
      <c r="X3955" s="3"/>
      <c r="Y3955" s="3"/>
      <c r="Z3955" s="3"/>
      <c r="AA3955" s="3"/>
      <c r="AB3955" s="3"/>
    </row>
    <row r="3956" spans="1:28" x14ac:dyDescent="0.3">
      <c r="A3956" s="2"/>
      <c r="F3956" s="3"/>
      <c r="G3956" s="3"/>
      <c r="N3956" s="3"/>
      <c r="Q3956" s="3"/>
      <c r="R3956" s="3"/>
      <c r="S3956" s="3"/>
      <c r="V3956" s="3"/>
      <c r="W3956" s="3"/>
      <c r="X3956" s="3"/>
      <c r="Y3956" s="3"/>
      <c r="Z3956" s="3"/>
      <c r="AA3956" s="3"/>
      <c r="AB3956" s="3"/>
    </row>
    <row r="3957" spans="1:28" x14ac:dyDescent="0.3">
      <c r="A3957" s="2"/>
      <c r="F3957" s="3"/>
      <c r="G3957" s="3"/>
      <c r="N3957" s="3"/>
      <c r="Q3957" s="3"/>
      <c r="R3957" s="3"/>
      <c r="S3957" s="3"/>
      <c r="V3957" s="3"/>
      <c r="W3957" s="3"/>
      <c r="X3957" s="3"/>
      <c r="Y3957" s="3"/>
      <c r="Z3957" s="3"/>
      <c r="AA3957" s="3"/>
      <c r="AB3957" s="3"/>
    </row>
    <row r="3958" spans="1:28" x14ac:dyDescent="0.3">
      <c r="A3958" s="2"/>
      <c r="F3958" s="3"/>
      <c r="G3958" s="3"/>
      <c r="N3958" s="3"/>
      <c r="Q3958" s="3"/>
      <c r="R3958" s="3"/>
      <c r="S3958" s="3"/>
      <c r="V3958" s="3"/>
      <c r="W3958" s="3"/>
      <c r="X3958" s="3"/>
      <c r="Y3958" s="3"/>
      <c r="Z3958" s="3"/>
      <c r="AA3958" s="3"/>
      <c r="AB3958" s="3"/>
    </row>
    <row r="3959" spans="1:28" x14ac:dyDescent="0.3">
      <c r="A3959" s="2"/>
      <c r="F3959" s="3"/>
      <c r="G3959" s="3"/>
      <c r="N3959" s="3"/>
      <c r="Q3959" s="3"/>
      <c r="R3959" s="3"/>
      <c r="S3959" s="3"/>
      <c r="V3959" s="3"/>
      <c r="W3959" s="3"/>
      <c r="X3959" s="3"/>
      <c r="Y3959" s="3"/>
      <c r="Z3959" s="3"/>
      <c r="AA3959" s="3"/>
      <c r="AB3959" s="3"/>
    </row>
    <row r="3960" spans="1:28" x14ac:dyDescent="0.3">
      <c r="A3960" s="2"/>
      <c r="F3960" s="3"/>
      <c r="G3960" s="3"/>
      <c r="N3960" s="3"/>
      <c r="Q3960" s="3"/>
      <c r="R3960" s="3"/>
      <c r="S3960" s="3"/>
      <c r="V3960" s="3"/>
      <c r="W3960" s="3"/>
      <c r="X3960" s="3"/>
      <c r="Y3960" s="3"/>
      <c r="Z3960" s="3"/>
      <c r="AA3960" s="3"/>
      <c r="AB3960" s="3"/>
    </row>
    <row r="3961" spans="1:28" x14ac:dyDescent="0.3">
      <c r="A3961" s="2"/>
      <c r="F3961" s="3"/>
      <c r="G3961" s="3"/>
      <c r="N3961" s="3"/>
      <c r="Q3961" s="3"/>
      <c r="R3961" s="3"/>
      <c r="S3961" s="3"/>
      <c r="V3961" s="3"/>
      <c r="W3961" s="3"/>
      <c r="X3961" s="3"/>
      <c r="Y3961" s="3"/>
      <c r="Z3961" s="3"/>
      <c r="AA3961" s="3"/>
      <c r="AB3961" s="3"/>
    </row>
    <row r="3962" spans="1:28" x14ac:dyDescent="0.3">
      <c r="A3962" s="2"/>
      <c r="F3962" s="3"/>
      <c r="G3962" s="3"/>
      <c r="N3962" s="3"/>
      <c r="Q3962" s="3"/>
      <c r="R3962" s="3"/>
      <c r="S3962" s="3"/>
      <c r="V3962" s="3"/>
      <c r="W3962" s="3"/>
      <c r="X3962" s="3"/>
      <c r="Y3962" s="3"/>
      <c r="Z3962" s="3"/>
      <c r="AA3962" s="3"/>
      <c r="AB3962" s="3"/>
    </row>
    <row r="3963" spans="1:28" x14ac:dyDescent="0.3">
      <c r="A3963" s="2"/>
      <c r="F3963" s="3"/>
      <c r="G3963" s="3"/>
      <c r="N3963" s="3"/>
      <c r="Q3963" s="3"/>
      <c r="R3963" s="3"/>
      <c r="S3963" s="3"/>
      <c r="V3963" s="3"/>
      <c r="W3963" s="3"/>
      <c r="X3963" s="3"/>
      <c r="Y3963" s="3"/>
      <c r="Z3963" s="3"/>
      <c r="AA3963" s="3"/>
      <c r="AB3963" s="3"/>
    </row>
    <row r="3964" spans="1:28" x14ac:dyDescent="0.3">
      <c r="A3964" s="2"/>
      <c r="F3964" s="3"/>
      <c r="G3964" s="3"/>
      <c r="N3964" s="3"/>
      <c r="Q3964" s="3"/>
      <c r="R3964" s="3"/>
      <c r="S3964" s="3"/>
      <c r="V3964" s="3"/>
      <c r="W3964" s="3"/>
      <c r="X3964" s="3"/>
      <c r="Y3964" s="3"/>
      <c r="Z3964" s="3"/>
      <c r="AA3964" s="3"/>
      <c r="AB3964" s="3"/>
    </row>
    <row r="3965" spans="1:28" x14ac:dyDescent="0.3">
      <c r="A3965" s="2"/>
      <c r="F3965" s="3"/>
      <c r="G3965" s="3"/>
      <c r="N3965" s="3"/>
      <c r="Q3965" s="3"/>
      <c r="R3965" s="3"/>
      <c r="S3965" s="3"/>
      <c r="V3965" s="3"/>
      <c r="W3965" s="3"/>
      <c r="X3965" s="3"/>
      <c r="Y3965" s="3"/>
      <c r="Z3965" s="3"/>
      <c r="AA3965" s="3"/>
      <c r="AB3965" s="3"/>
    </row>
    <row r="3966" spans="1:28" x14ac:dyDescent="0.3">
      <c r="A3966" s="2"/>
      <c r="F3966" s="3"/>
      <c r="G3966" s="3"/>
      <c r="N3966" s="3"/>
      <c r="Q3966" s="3"/>
      <c r="R3966" s="3"/>
      <c r="S3966" s="3"/>
      <c r="V3966" s="3"/>
      <c r="W3966" s="3"/>
      <c r="X3966" s="3"/>
      <c r="Y3966" s="3"/>
      <c r="Z3966" s="3"/>
      <c r="AA3966" s="3"/>
      <c r="AB3966" s="3"/>
    </row>
    <row r="3967" spans="1:28" x14ac:dyDescent="0.3">
      <c r="A3967" s="2"/>
      <c r="F3967" s="3"/>
      <c r="G3967" s="3"/>
      <c r="N3967" s="3"/>
      <c r="Q3967" s="3"/>
      <c r="R3967" s="3"/>
      <c r="S3967" s="3"/>
      <c r="V3967" s="3"/>
      <c r="W3967" s="3"/>
      <c r="X3967" s="3"/>
      <c r="Y3967" s="3"/>
      <c r="Z3967" s="3"/>
      <c r="AA3967" s="3"/>
      <c r="AB3967" s="3"/>
    </row>
    <row r="3968" spans="1:28" x14ac:dyDescent="0.3">
      <c r="A3968" s="2"/>
      <c r="F3968" s="3"/>
      <c r="G3968" s="3"/>
      <c r="N3968" s="3"/>
      <c r="Q3968" s="3"/>
      <c r="R3968" s="3"/>
      <c r="S3968" s="3"/>
      <c r="V3968" s="3"/>
      <c r="W3968" s="3"/>
      <c r="X3968" s="3"/>
      <c r="Y3968" s="3"/>
      <c r="Z3968" s="3"/>
      <c r="AA3968" s="3"/>
      <c r="AB3968" s="3"/>
    </row>
    <row r="3969" spans="1:28" x14ac:dyDescent="0.3">
      <c r="A3969" s="2"/>
      <c r="F3969" s="3"/>
      <c r="G3969" s="3"/>
      <c r="N3969" s="3"/>
      <c r="Q3969" s="3"/>
      <c r="R3969" s="3"/>
      <c r="S3969" s="3"/>
      <c r="V3969" s="3"/>
      <c r="W3969" s="3"/>
      <c r="X3969" s="3"/>
      <c r="Y3969" s="3"/>
      <c r="Z3969" s="3"/>
      <c r="AA3969" s="3"/>
      <c r="AB3969" s="3"/>
    </row>
    <row r="3970" spans="1:28" x14ac:dyDescent="0.3">
      <c r="A3970" s="2"/>
      <c r="F3970" s="3"/>
      <c r="G3970" s="3"/>
      <c r="N3970" s="3"/>
      <c r="Q3970" s="3"/>
      <c r="R3970" s="3"/>
      <c r="S3970" s="3"/>
      <c r="V3970" s="3"/>
      <c r="W3970" s="3"/>
      <c r="X3970" s="3"/>
      <c r="Y3970" s="3"/>
      <c r="Z3970" s="3"/>
      <c r="AA3970" s="3"/>
      <c r="AB3970" s="3"/>
    </row>
    <row r="3971" spans="1:28" x14ac:dyDescent="0.3">
      <c r="A3971" s="2"/>
      <c r="F3971" s="3"/>
      <c r="G3971" s="3"/>
      <c r="N3971" s="3"/>
      <c r="Q3971" s="3"/>
      <c r="R3971" s="3"/>
      <c r="S3971" s="3"/>
      <c r="V3971" s="3"/>
      <c r="W3971" s="3"/>
      <c r="X3971" s="3"/>
      <c r="Y3971" s="3"/>
      <c r="Z3971" s="3"/>
      <c r="AA3971" s="3"/>
      <c r="AB3971" s="3"/>
    </row>
    <row r="3972" spans="1:28" x14ac:dyDescent="0.3">
      <c r="A3972" s="2"/>
      <c r="F3972" s="3"/>
      <c r="G3972" s="3"/>
      <c r="N3972" s="3"/>
      <c r="Q3972" s="3"/>
      <c r="R3972" s="3"/>
      <c r="S3972" s="3"/>
      <c r="V3972" s="3"/>
      <c r="W3972" s="3"/>
      <c r="X3972" s="3"/>
      <c r="Y3972" s="3"/>
      <c r="Z3972" s="3"/>
      <c r="AA3972" s="3"/>
      <c r="AB3972" s="3"/>
    </row>
    <row r="3973" spans="1:28" x14ac:dyDescent="0.3">
      <c r="A3973" s="2"/>
      <c r="F3973" s="3"/>
      <c r="G3973" s="3"/>
      <c r="N3973" s="3"/>
      <c r="Q3973" s="3"/>
      <c r="R3973" s="3"/>
      <c r="S3973" s="3"/>
      <c r="V3973" s="3"/>
      <c r="W3973" s="3"/>
      <c r="X3973" s="3"/>
      <c r="Y3973" s="3"/>
      <c r="Z3973" s="3"/>
      <c r="AA3973" s="3"/>
      <c r="AB3973" s="3"/>
    </row>
    <row r="3974" spans="1:28" x14ac:dyDescent="0.3">
      <c r="A3974" s="2"/>
      <c r="F3974" s="3"/>
      <c r="G3974" s="3"/>
      <c r="N3974" s="3"/>
      <c r="Q3974" s="3"/>
      <c r="R3974" s="3"/>
      <c r="S3974" s="3"/>
      <c r="V3974" s="3"/>
      <c r="W3974" s="3"/>
      <c r="X3974" s="3"/>
      <c r="Y3974" s="3"/>
      <c r="Z3974" s="3"/>
      <c r="AA3974" s="3"/>
      <c r="AB3974" s="3"/>
    </row>
    <row r="3975" spans="1:28" x14ac:dyDescent="0.3">
      <c r="A3975" s="2"/>
      <c r="F3975" s="3"/>
      <c r="G3975" s="3"/>
      <c r="N3975" s="3"/>
      <c r="Q3975" s="3"/>
      <c r="R3975" s="3"/>
      <c r="S3975" s="3"/>
      <c r="V3975" s="3"/>
      <c r="W3975" s="3"/>
      <c r="X3975" s="3"/>
      <c r="Y3975" s="3"/>
      <c r="Z3975" s="3"/>
      <c r="AA3975" s="3"/>
      <c r="AB3975" s="3"/>
    </row>
    <row r="3976" spans="1:28" x14ac:dyDescent="0.3">
      <c r="A3976" s="2"/>
      <c r="F3976" s="3"/>
      <c r="G3976" s="3"/>
      <c r="N3976" s="3"/>
      <c r="Q3976" s="3"/>
      <c r="R3976" s="3"/>
      <c r="S3976" s="3"/>
      <c r="V3976" s="3"/>
      <c r="W3976" s="3"/>
      <c r="X3976" s="3"/>
      <c r="Y3976" s="3"/>
      <c r="Z3976" s="3"/>
      <c r="AA3976" s="3"/>
      <c r="AB3976" s="3"/>
    </row>
    <row r="3977" spans="1:28" x14ac:dyDescent="0.3">
      <c r="A3977" s="2"/>
      <c r="F3977" s="3"/>
      <c r="G3977" s="3"/>
      <c r="N3977" s="3"/>
      <c r="Q3977" s="3"/>
      <c r="R3977" s="3"/>
      <c r="S3977" s="3"/>
      <c r="V3977" s="3"/>
      <c r="W3977" s="3"/>
      <c r="X3977" s="3"/>
      <c r="Y3977" s="3"/>
      <c r="Z3977" s="3"/>
      <c r="AA3977" s="3"/>
      <c r="AB3977" s="3"/>
    </row>
    <row r="3978" spans="1:28" x14ac:dyDescent="0.3">
      <c r="A3978" s="2"/>
      <c r="F3978" s="3"/>
      <c r="G3978" s="3"/>
      <c r="N3978" s="3"/>
      <c r="Q3978" s="3"/>
      <c r="R3978" s="3"/>
      <c r="S3978" s="3"/>
      <c r="V3978" s="3"/>
      <c r="W3978" s="3"/>
      <c r="X3978" s="3"/>
      <c r="Y3978" s="3"/>
      <c r="Z3978" s="3"/>
      <c r="AA3978" s="3"/>
      <c r="AB3978" s="3"/>
    </row>
    <row r="3979" spans="1:28" x14ac:dyDescent="0.3">
      <c r="A3979" s="2"/>
      <c r="F3979" s="3"/>
      <c r="G3979" s="3"/>
      <c r="N3979" s="3"/>
      <c r="Q3979" s="3"/>
      <c r="R3979" s="3"/>
      <c r="S3979" s="3"/>
      <c r="V3979" s="3"/>
      <c r="W3979" s="3"/>
      <c r="X3979" s="3"/>
      <c r="Y3979" s="3"/>
      <c r="Z3979" s="3"/>
      <c r="AA3979" s="3"/>
      <c r="AB3979" s="3"/>
    </row>
    <row r="3980" spans="1:28" x14ac:dyDescent="0.3">
      <c r="A3980" s="2"/>
      <c r="F3980" s="3"/>
      <c r="G3980" s="3"/>
      <c r="N3980" s="3"/>
      <c r="Q3980" s="3"/>
      <c r="R3980" s="3"/>
      <c r="S3980" s="3"/>
      <c r="V3980" s="3"/>
      <c r="W3980" s="3"/>
      <c r="X3980" s="3"/>
      <c r="Y3980" s="3"/>
      <c r="Z3980" s="3"/>
      <c r="AA3980" s="3"/>
      <c r="AB3980" s="3"/>
    </row>
    <row r="3981" spans="1:28" x14ac:dyDescent="0.3">
      <c r="A3981" s="2"/>
      <c r="F3981" s="3"/>
      <c r="G3981" s="3"/>
      <c r="N3981" s="3"/>
      <c r="Q3981" s="3"/>
      <c r="R3981" s="3"/>
      <c r="S3981" s="3"/>
      <c r="V3981" s="3"/>
      <c r="W3981" s="3"/>
      <c r="X3981" s="3"/>
      <c r="Y3981" s="3"/>
      <c r="Z3981" s="3"/>
      <c r="AA3981" s="3"/>
      <c r="AB3981" s="3"/>
    </row>
    <row r="3982" spans="1:28" x14ac:dyDescent="0.3">
      <c r="A3982" s="2"/>
      <c r="F3982" s="3"/>
      <c r="G3982" s="3"/>
      <c r="N3982" s="3"/>
      <c r="Q3982" s="3"/>
      <c r="R3982" s="3"/>
      <c r="S3982" s="3"/>
      <c r="V3982" s="3"/>
      <c r="W3982" s="3"/>
      <c r="X3982" s="3"/>
      <c r="Y3982" s="3"/>
      <c r="Z3982" s="3"/>
      <c r="AA3982" s="3"/>
      <c r="AB3982" s="3"/>
    </row>
    <row r="3983" spans="1:28" x14ac:dyDescent="0.3">
      <c r="A3983" s="2"/>
      <c r="F3983" s="3"/>
      <c r="G3983" s="3"/>
      <c r="N3983" s="3"/>
      <c r="Q3983" s="3"/>
      <c r="R3983" s="3"/>
      <c r="S3983" s="3"/>
      <c r="V3983" s="3"/>
      <c r="W3983" s="3"/>
      <c r="X3983" s="3"/>
      <c r="Y3983" s="3"/>
      <c r="Z3983" s="3"/>
      <c r="AA3983" s="3"/>
      <c r="AB3983" s="3"/>
    </row>
    <row r="3984" spans="1:28" x14ac:dyDescent="0.3">
      <c r="A3984" s="2"/>
      <c r="F3984" s="3"/>
      <c r="G3984" s="3"/>
      <c r="N3984" s="3"/>
      <c r="Q3984" s="3"/>
      <c r="R3984" s="3"/>
      <c r="S3984" s="3"/>
      <c r="V3984" s="3"/>
      <c r="W3984" s="3"/>
      <c r="X3984" s="3"/>
      <c r="Y3984" s="3"/>
      <c r="Z3984" s="3"/>
      <c r="AA3984" s="3"/>
      <c r="AB3984" s="3"/>
    </row>
    <row r="3985" spans="1:28" x14ac:dyDescent="0.3">
      <c r="A3985" s="2"/>
      <c r="F3985" s="3"/>
      <c r="G3985" s="3"/>
      <c r="N3985" s="3"/>
      <c r="Q3985" s="3"/>
      <c r="R3985" s="3"/>
      <c r="S3985" s="3"/>
      <c r="V3985" s="3"/>
      <c r="W3985" s="3"/>
      <c r="X3985" s="3"/>
      <c r="Y3985" s="3"/>
      <c r="Z3985" s="3"/>
      <c r="AA3985" s="3"/>
      <c r="AB3985" s="3"/>
    </row>
    <row r="3986" spans="1:28" x14ac:dyDescent="0.3">
      <c r="A3986" s="2"/>
      <c r="F3986" s="3"/>
      <c r="G3986" s="3"/>
      <c r="N3986" s="3"/>
      <c r="Q3986" s="3"/>
      <c r="R3986" s="3"/>
      <c r="S3986" s="3"/>
      <c r="V3986" s="3"/>
      <c r="W3986" s="3"/>
      <c r="X3986" s="3"/>
      <c r="Y3986" s="3"/>
      <c r="Z3986" s="3"/>
      <c r="AA3986" s="3"/>
      <c r="AB3986" s="3"/>
    </row>
    <row r="3987" spans="1:28" x14ac:dyDescent="0.3">
      <c r="A3987" s="2"/>
      <c r="F3987" s="3"/>
      <c r="G3987" s="3"/>
      <c r="N3987" s="3"/>
      <c r="Q3987" s="3"/>
      <c r="R3987" s="3"/>
      <c r="S3987" s="3"/>
      <c r="V3987" s="3"/>
      <c r="W3987" s="3"/>
      <c r="X3987" s="3"/>
      <c r="Y3987" s="3"/>
      <c r="Z3987" s="3"/>
      <c r="AA3987" s="3"/>
      <c r="AB3987" s="3"/>
    </row>
    <row r="3988" spans="1:28" x14ac:dyDescent="0.3">
      <c r="A3988" s="2"/>
      <c r="F3988" s="3"/>
      <c r="G3988" s="3"/>
      <c r="N3988" s="3"/>
      <c r="Q3988" s="3"/>
      <c r="R3988" s="3"/>
      <c r="S3988" s="3"/>
      <c r="V3988" s="3"/>
      <c r="W3988" s="3"/>
      <c r="X3988" s="3"/>
      <c r="Y3988" s="3"/>
      <c r="Z3988" s="3"/>
      <c r="AA3988" s="3"/>
      <c r="AB3988" s="3"/>
    </row>
    <row r="3989" spans="1:28" x14ac:dyDescent="0.3">
      <c r="A3989" s="2"/>
      <c r="F3989" s="3"/>
      <c r="G3989" s="3"/>
      <c r="N3989" s="3"/>
      <c r="Q3989" s="3"/>
      <c r="R3989" s="3"/>
      <c r="S3989" s="3"/>
      <c r="V3989" s="3"/>
      <c r="W3989" s="3"/>
      <c r="X3989" s="3"/>
      <c r="Y3989" s="3"/>
      <c r="Z3989" s="3"/>
      <c r="AA3989" s="3"/>
      <c r="AB3989" s="3"/>
    </row>
    <row r="3990" spans="1:28" x14ac:dyDescent="0.3">
      <c r="A3990" s="2"/>
      <c r="F3990" s="3"/>
      <c r="G3990" s="3"/>
      <c r="N3990" s="3"/>
      <c r="Q3990" s="3"/>
      <c r="R3990" s="3"/>
      <c r="S3990" s="3"/>
      <c r="V3990" s="3"/>
      <c r="W3990" s="3"/>
      <c r="X3990" s="3"/>
      <c r="Y3990" s="3"/>
      <c r="Z3990" s="3"/>
      <c r="AA3990" s="3"/>
      <c r="AB3990" s="3"/>
    </row>
    <row r="3991" spans="1:28" x14ac:dyDescent="0.3">
      <c r="A3991" s="2"/>
      <c r="F3991" s="3"/>
      <c r="G3991" s="3"/>
      <c r="N3991" s="3"/>
      <c r="Q3991" s="3"/>
      <c r="R3991" s="3"/>
      <c r="S3991" s="3"/>
      <c r="V3991" s="3"/>
      <c r="W3991" s="3"/>
      <c r="X3991" s="3"/>
      <c r="Y3991" s="3"/>
      <c r="Z3991" s="3"/>
      <c r="AA3991" s="3"/>
      <c r="AB3991" s="3"/>
    </row>
    <row r="3992" spans="1:28" x14ac:dyDescent="0.3">
      <c r="A3992" s="2"/>
      <c r="F3992" s="3"/>
      <c r="G3992" s="3"/>
      <c r="N3992" s="3"/>
      <c r="Q3992" s="3"/>
      <c r="R3992" s="3"/>
      <c r="S3992" s="3"/>
      <c r="V3992" s="3"/>
      <c r="W3992" s="3"/>
      <c r="X3992" s="3"/>
      <c r="Y3992" s="3"/>
      <c r="Z3992" s="3"/>
      <c r="AA3992" s="3"/>
      <c r="AB3992" s="3"/>
    </row>
    <row r="3993" spans="1:28" x14ac:dyDescent="0.3">
      <c r="A3993" s="2"/>
      <c r="F3993" s="3"/>
      <c r="G3993" s="3"/>
      <c r="N3993" s="3"/>
      <c r="Q3993" s="3"/>
      <c r="R3993" s="3"/>
      <c r="S3993" s="3"/>
      <c r="V3993" s="3"/>
      <c r="W3993" s="3"/>
      <c r="X3993" s="3"/>
      <c r="Y3993" s="3"/>
      <c r="Z3993" s="3"/>
      <c r="AA3993" s="3"/>
      <c r="AB3993" s="3"/>
    </row>
    <row r="3994" spans="1:28" x14ac:dyDescent="0.3">
      <c r="A3994" s="2"/>
      <c r="F3994" s="3"/>
      <c r="G3994" s="3"/>
      <c r="N3994" s="3"/>
      <c r="Q3994" s="3"/>
      <c r="R3994" s="3"/>
      <c r="S3994" s="3"/>
      <c r="V3994" s="3"/>
      <c r="W3994" s="3"/>
      <c r="X3994" s="3"/>
      <c r="Y3994" s="3"/>
      <c r="Z3994" s="3"/>
      <c r="AA3994" s="3"/>
      <c r="AB3994" s="3"/>
    </row>
    <row r="3995" spans="1:28" x14ac:dyDescent="0.3">
      <c r="A3995" s="2"/>
      <c r="F3995" s="3"/>
      <c r="G3995" s="3"/>
      <c r="N3995" s="3"/>
      <c r="Q3995" s="3"/>
      <c r="R3995" s="3"/>
      <c r="S3995" s="3"/>
      <c r="V3995" s="3"/>
      <c r="W3995" s="3"/>
      <c r="X3995" s="3"/>
      <c r="Y3995" s="3"/>
      <c r="Z3995" s="3"/>
      <c r="AA3995" s="3"/>
      <c r="AB3995" s="3"/>
    </row>
    <row r="3996" spans="1:28" x14ac:dyDescent="0.3">
      <c r="A3996" s="2"/>
      <c r="F3996" s="3"/>
      <c r="G3996" s="3"/>
      <c r="N3996" s="3"/>
      <c r="Q3996" s="3"/>
      <c r="R3996" s="3"/>
      <c r="S3996" s="3"/>
      <c r="V3996" s="3"/>
      <c r="W3996" s="3"/>
      <c r="X3996" s="3"/>
      <c r="Y3996" s="3"/>
      <c r="Z3996" s="3"/>
      <c r="AA3996" s="3"/>
      <c r="AB3996" s="3"/>
    </row>
    <row r="3997" spans="1:28" x14ac:dyDescent="0.3">
      <c r="A3997" s="2"/>
      <c r="F3997" s="3"/>
      <c r="G3997" s="3"/>
      <c r="N3997" s="3"/>
      <c r="Q3997" s="3"/>
      <c r="R3997" s="3"/>
      <c r="S3997" s="3"/>
      <c r="V3997" s="3"/>
      <c r="W3997" s="3"/>
      <c r="X3997" s="3"/>
      <c r="Y3997" s="3"/>
      <c r="Z3997" s="3"/>
      <c r="AA3997" s="3"/>
      <c r="AB3997" s="3"/>
    </row>
    <row r="3998" spans="1:28" x14ac:dyDescent="0.3">
      <c r="A3998" s="2"/>
      <c r="F3998" s="3"/>
      <c r="G3998" s="3"/>
      <c r="N3998" s="3"/>
      <c r="Q3998" s="3"/>
      <c r="R3998" s="3"/>
      <c r="S3998" s="3"/>
      <c r="V3998" s="3"/>
      <c r="W3998" s="3"/>
      <c r="X3998" s="3"/>
      <c r="Y3998" s="3"/>
      <c r="Z3998" s="3"/>
      <c r="AA3998" s="3"/>
      <c r="AB3998" s="3"/>
    </row>
    <row r="3999" spans="1:28" x14ac:dyDescent="0.3">
      <c r="A3999" s="2"/>
      <c r="F3999" s="3"/>
      <c r="G3999" s="3"/>
      <c r="N3999" s="3"/>
      <c r="Q3999" s="3"/>
      <c r="R3999" s="3"/>
      <c r="S3999" s="3"/>
      <c r="V3999" s="3"/>
      <c r="W3999" s="3"/>
      <c r="X3999" s="3"/>
      <c r="Y3999" s="3"/>
      <c r="Z3999" s="3"/>
      <c r="AA3999" s="3"/>
      <c r="AB3999" s="3"/>
    </row>
    <row r="4000" spans="1:28" x14ac:dyDescent="0.3">
      <c r="A4000" s="2"/>
      <c r="F4000" s="3"/>
      <c r="G4000" s="3"/>
      <c r="N4000" s="3"/>
      <c r="Q4000" s="3"/>
      <c r="R4000" s="3"/>
      <c r="S4000" s="3"/>
      <c r="V4000" s="3"/>
      <c r="W4000" s="3"/>
      <c r="X4000" s="3"/>
      <c r="Y4000" s="3"/>
      <c r="Z4000" s="3"/>
      <c r="AA4000" s="3"/>
      <c r="AB4000" s="3"/>
    </row>
    <row r="4001" spans="1:28" x14ac:dyDescent="0.3">
      <c r="A4001" s="2"/>
      <c r="F4001" s="3"/>
      <c r="G4001" s="3"/>
      <c r="N4001" s="3"/>
      <c r="Q4001" s="3"/>
      <c r="R4001" s="3"/>
      <c r="S4001" s="3"/>
      <c r="V4001" s="3"/>
      <c r="W4001" s="3"/>
      <c r="X4001" s="3"/>
      <c r="Y4001" s="3"/>
      <c r="Z4001" s="3"/>
      <c r="AA4001" s="3"/>
      <c r="AB4001" s="3"/>
    </row>
    <row r="4002" spans="1:28" x14ac:dyDescent="0.3">
      <c r="A4002" s="2"/>
      <c r="F4002" s="3"/>
      <c r="G4002" s="3"/>
      <c r="N4002" s="3"/>
      <c r="Q4002" s="3"/>
      <c r="R4002" s="3"/>
      <c r="S4002" s="3"/>
      <c r="V4002" s="3"/>
      <c r="W4002" s="3"/>
      <c r="X4002" s="3"/>
      <c r="Y4002" s="3"/>
      <c r="Z4002" s="3"/>
      <c r="AA4002" s="3"/>
      <c r="AB4002" s="3"/>
    </row>
    <row r="4003" spans="1:28" x14ac:dyDescent="0.3">
      <c r="A4003" s="2"/>
      <c r="F4003" s="3"/>
      <c r="G4003" s="3"/>
      <c r="N4003" s="3"/>
      <c r="Q4003" s="3"/>
      <c r="R4003" s="3"/>
      <c r="S4003" s="3"/>
      <c r="V4003" s="3"/>
      <c r="W4003" s="3"/>
      <c r="X4003" s="3"/>
      <c r="Y4003" s="3"/>
      <c r="Z4003" s="3"/>
      <c r="AA4003" s="3"/>
      <c r="AB4003" s="3"/>
    </row>
    <row r="4004" spans="1:28" x14ac:dyDescent="0.3">
      <c r="A4004" s="2"/>
      <c r="F4004" s="3"/>
      <c r="G4004" s="3"/>
      <c r="N4004" s="3"/>
      <c r="Q4004" s="3"/>
      <c r="R4004" s="3"/>
      <c r="S4004" s="3"/>
      <c r="V4004" s="3"/>
      <c r="W4004" s="3"/>
      <c r="X4004" s="3"/>
      <c r="Y4004" s="3"/>
      <c r="Z4004" s="3"/>
      <c r="AA4004" s="3"/>
      <c r="AB4004" s="3"/>
    </row>
    <row r="4005" spans="1:28" x14ac:dyDescent="0.3">
      <c r="A4005" s="2"/>
      <c r="F4005" s="3"/>
      <c r="G4005" s="3"/>
      <c r="N4005" s="3"/>
      <c r="Q4005" s="3"/>
      <c r="R4005" s="3"/>
      <c r="S4005" s="3"/>
      <c r="V4005" s="3"/>
      <c r="W4005" s="3"/>
      <c r="X4005" s="3"/>
      <c r="Y4005" s="3"/>
      <c r="Z4005" s="3"/>
      <c r="AA4005" s="3"/>
      <c r="AB4005" s="3"/>
    </row>
    <row r="4006" spans="1:28" x14ac:dyDescent="0.3">
      <c r="A4006" s="2"/>
      <c r="F4006" s="3"/>
      <c r="G4006" s="3"/>
      <c r="N4006" s="3"/>
      <c r="Q4006" s="3"/>
      <c r="R4006" s="3"/>
      <c r="S4006" s="3"/>
      <c r="V4006" s="3"/>
      <c r="W4006" s="3"/>
      <c r="X4006" s="3"/>
      <c r="Y4006" s="3"/>
      <c r="Z4006" s="3"/>
      <c r="AA4006" s="3"/>
      <c r="AB4006" s="3"/>
    </row>
    <row r="4007" spans="1:28" x14ac:dyDescent="0.3">
      <c r="A4007" s="2"/>
      <c r="F4007" s="3"/>
      <c r="G4007" s="3"/>
      <c r="N4007" s="3"/>
      <c r="Q4007" s="3"/>
      <c r="R4007" s="3"/>
      <c r="S4007" s="3"/>
      <c r="V4007" s="3"/>
      <c r="W4007" s="3"/>
      <c r="X4007" s="3"/>
      <c r="Y4007" s="3"/>
      <c r="Z4007" s="3"/>
      <c r="AA4007" s="3"/>
      <c r="AB4007" s="3"/>
    </row>
    <row r="4008" spans="1:28" x14ac:dyDescent="0.3">
      <c r="A4008" s="2"/>
      <c r="F4008" s="3"/>
      <c r="G4008" s="3"/>
      <c r="N4008" s="3"/>
      <c r="Q4008" s="3"/>
      <c r="R4008" s="3"/>
      <c r="S4008" s="3"/>
      <c r="V4008" s="3"/>
      <c r="W4008" s="3"/>
      <c r="X4008" s="3"/>
      <c r="Y4008" s="3"/>
      <c r="Z4008" s="3"/>
      <c r="AA4008" s="3"/>
      <c r="AB4008" s="3"/>
    </row>
    <row r="4009" spans="1:28" x14ac:dyDescent="0.3">
      <c r="A4009" s="2"/>
      <c r="F4009" s="3"/>
      <c r="G4009" s="3"/>
      <c r="N4009" s="3"/>
      <c r="Q4009" s="3"/>
      <c r="R4009" s="3"/>
      <c r="S4009" s="3"/>
      <c r="V4009" s="3"/>
      <c r="W4009" s="3"/>
      <c r="X4009" s="3"/>
      <c r="Y4009" s="3"/>
      <c r="Z4009" s="3"/>
      <c r="AA4009" s="3"/>
      <c r="AB4009" s="3"/>
    </row>
    <row r="4010" spans="1:28" x14ac:dyDescent="0.3">
      <c r="A4010" s="2"/>
      <c r="F4010" s="3"/>
      <c r="G4010" s="3"/>
      <c r="N4010" s="3"/>
      <c r="Q4010" s="3"/>
      <c r="R4010" s="3"/>
      <c r="S4010" s="3"/>
      <c r="V4010" s="3"/>
      <c r="W4010" s="3"/>
      <c r="X4010" s="3"/>
      <c r="Y4010" s="3"/>
      <c r="Z4010" s="3"/>
      <c r="AA4010" s="3"/>
      <c r="AB4010" s="3"/>
    </row>
    <row r="4011" spans="1:28" x14ac:dyDescent="0.3">
      <c r="A4011" s="2"/>
      <c r="F4011" s="3"/>
      <c r="G4011" s="3"/>
      <c r="N4011" s="3"/>
      <c r="Q4011" s="3"/>
      <c r="R4011" s="3"/>
      <c r="S4011" s="3"/>
      <c r="V4011" s="3"/>
      <c r="W4011" s="3"/>
      <c r="X4011" s="3"/>
      <c r="Y4011" s="3"/>
      <c r="Z4011" s="3"/>
      <c r="AA4011" s="3"/>
      <c r="AB4011" s="3"/>
    </row>
    <row r="4012" spans="1:28" x14ac:dyDescent="0.3">
      <c r="A4012" s="2"/>
      <c r="F4012" s="3"/>
      <c r="G4012" s="3"/>
      <c r="N4012" s="3"/>
      <c r="Q4012" s="3"/>
      <c r="R4012" s="3"/>
      <c r="S4012" s="3"/>
      <c r="V4012" s="3"/>
      <c r="W4012" s="3"/>
      <c r="X4012" s="3"/>
      <c r="Y4012" s="3"/>
      <c r="Z4012" s="3"/>
      <c r="AA4012" s="3"/>
      <c r="AB4012" s="3"/>
    </row>
    <row r="4013" spans="1:28" x14ac:dyDescent="0.3">
      <c r="A4013" s="2"/>
      <c r="F4013" s="3"/>
      <c r="G4013" s="3"/>
      <c r="N4013" s="3"/>
      <c r="Q4013" s="3"/>
      <c r="R4013" s="3"/>
      <c r="S4013" s="3"/>
      <c r="V4013" s="3"/>
      <c r="W4013" s="3"/>
      <c r="X4013" s="3"/>
      <c r="Y4013" s="3"/>
      <c r="Z4013" s="3"/>
      <c r="AA4013" s="3"/>
      <c r="AB4013" s="3"/>
    </row>
    <row r="4014" spans="1:28" x14ac:dyDescent="0.3">
      <c r="A4014" s="2"/>
      <c r="F4014" s="3"/>
      <c r="G4014" s="3"/>
      <c r="N4014" s="3"/>
      <c r="Q4014" s="3"/>
      <c r="R4014" s="3"/>
      <c r="S4014" s="3"/>
      <c r="V4014" s="3"/>
      <c r="W4014" s="3"/>
      <c r="X4014" s="3"/>
      <c r="Y4014" s="3"/>
      <c r="Z4014" s="3"/>
      <c r="AA4014" s="3"/>
      <c r="AB4014" s="3"/>
    </row>
    <row r="4015" spans="1:28" x14ac:dyDescent="0.3">
      <c r="A4015" s="2"/>
      <c r="F4015" s="3"/>
      <c r="G4015" s="3"/>
      <c r="N4015" s="3"/>
      <c r="Q4015" s="3"/>
      <c r="R4015" s="3"/>
      <c r="S4015" s="3"/>
      <c r="V4015" s="3"/>
      <c r="W4015" s="3"/>
      <c r="X4015" s="3"/>
      <c r="Y4015" s="3"/>
      <c r="Z4015" s="3"/>
      <c r="AA4015" s="3"/>
      <c r="AB4015" s="3"/>
    </row>
    <row r="4016" spans="1:28" x14ac:dyDescent="0.3">
      <c r="A4016" s="2"/>
      <c r="F4016" s="3"/>
      <c r="G4016" s="3"/>
      <c r="N4016" s="3"/>
      <c r="Q4016" s="3"/>
      <c r="R4016" s="3"/>
      <c r="S4016" s="3"/>
      <c r="V4016" s="3"/>
      <c r="W4016" s="3"/>
      <c r="X4016" s="3"/>
      <c r="Y4016" s="3"/>
      <c r="Z4016" s="3"/>
      <c r="AA4016" s="3"/>
      <c r="AB4016" s="3"/>
    </row>
    <row r="4017" spans="1:28" x14ac:dyDescent="0.3">
      <c r="A4017" s="2"/>
      <c r="F4017" s="3"/>
      <c r="G4017" s="3"/>
      <c r="N4017" s="3"/>
      <c r="Q4017" s="3"/>
      <c r="R4017" s="3"/>
      <c r="S4017" s="3"/>
      <c r="V4017" s="3"/>
      <c r="W4017" s="3"/>
      <c r="X4017" s="3"/>
      <c r="Y4017" s="3"/>
      <c r="Z4017" s="3"/>
      <c r="AA4017" s="3"/>
      <c r="AB4017" s="3"/>
    </row>
    <row r="4018" spans="1:28" x14ac:dyDescent="0.3">
      <c r="A4018" s="2"/>
      <c r="F4018" s="3"/>
      <c r="G4018" s="3"/>
      <c r="N4018" s="3"/>
      <c r="Q4018" s="3"/>
      <c r="R4018" s="3"/>
      <c r="S4018" s="3"/>
      <c r="V4018" s="3"/>
      <c r="W4018" s="3"/>
      <c r="X4018" s="3"/>
      <c r="Y4018" s="3"/>
      <c r="Z4018" s="3"/>
      <c r="AA4018" s="3"/>
      <c r="AB4018" s="3"/>
    </row>
    <row r="4019" spans="1:28" x14ac:dyDescent="0.3">
      <c r="A4019" s="2"/>
      <c r="F4019" s="3"/>
      <c r="G4019" s="3"/>
      <c r="N4019" s="3"/>
      <c r="Q4019" s="3"/>
      <c r="R4019" s="3"/>
      <c r="S4019" s="3"/>
      <c r="V4019" s="3"/>
      <c r="W4019" s="3"/>
      <c r="X4019" s="3"/>
      <c r="Y4019" s="3"/>
      <c r="Z4019" s="3"/>
      <c r="AA4019" s="3"/>
      <c r="AB4019" s="3"/>
    </row>
    <row r="4020" spans="1:28" x14ac:dyDescent="0.3">
      <c r="A4020" s="2"/>
      <c r="F4020" s="3"/>
      <c r="G4020" s="3"/>
      <c r="N4020" s="3"/>
      <c r="Q4020" s="3"/>
      <c r="R4020" s="3"/>
      <c r="S4020" s="3"/>
      <c r="V4020" s="3"/>
      <c r="W4020" s="3"/>
      <c r="X4020" s="3"/>
      <c r="Y4020" s="3"/>
      <c r="Z4020" s="3"/>
      <c r="AA4020" s="3"/>
      <c r="AB4020" s="3"/>
    </row>
    <row r="4021" spans="1:28" x14ac:dyDescent="0.3">
      <c r="A4021" s="2"/>
      <c r="F4021" s="3"/>
      <c r="G4021" s="3"/>
      <c r="N4021" s="3"/>
      <c r="Q4021" s="3"/>
      <c r="R4021" s="3"/>
      <c r="S4021" s="3"/>
      <c r="V4021" s="3"/>
      <c r="W4021" s="3"/>
      <c r="X4021" s="3"/>
      <c r="Y4021" s="3"/>
      <c r="Z4021" s="3"/>
      <c r="AA4021" s="3"/>
      <c r="AB4021" s="3"/>
    </row>
    <row r="4022" spans="1:28" x14ac:dyDescent="0.3">
      <c r="A4022" s="2"/>
      <c r="F4022" s="3"/>
      <c r="G4022" s="3"/>
      <c r="N4022" s="3"/>
      <c r="Q4022" s="3"/>
      <c r="R4022" s="3"/>
      <c r="S4022" s="3"/>
      <c r="V4022" s="3"/>
      <c r="W4022" s="3"/>
      <c r="X4022" s="3"/>
      <c r="Y4022" s="3"/>
      <c r="Z4022" s="3"/>
      <c r="AA4022" s="3"/>
      <c r="AB4022" s="3"/>
    </row>
    <row r="4023" spans="1:28" x14ac:dyDescent="0.3">
      <c r="A4023" s="2"/>
      <c r="F4023" s="3"/>
      <c r="G4023" s="3"/>
      <c r="N4023" s="3"/>
      <c r="Q4023" s="3"/>
      <c r="R4023" s="3"/>
      <c r="S4023" s="3"/>
      <c r="V4023" s="3"/>
      <c r="W4023" s="3"/>
      <c r="X4023" s="3"/>
      <c r="Y4023" s="3"/>
      <c r="Z4023" s="3"/>
      <c r="AA4023" s="3"/>
      <c r="AB4023" s="3"/>
    </row>
    <row r="4024" spans="1:28" x14ac:dyDescent="0.3">
      <c r="A4024" s="2"/>
      <c r="F4024" s="3"/>
      <c r="G4024" s="3"/>
      <c r="N4024" s="3"/>
      <c r="Q4024" s="3"/>
      <c r="R4024" s="3"/>
      <c r="S4024" s="3"/>
      <c r="V4024" s="3"/>
      <c r="W4024" s="3"/>
      <c r="X4024" s="3"/>
      <c r="Y4024" s="3"/>
      <c r="Z4024" s="3"/>
      <c r="AA4024" s="3"/>
      <c r="AB4024" s="3"/>
    </row>
    <row r="4025" spans="1:28" x14ac:dyDescent="0.3">
      <c r="A4025" s="2"/>
      <c r="F4025" s="3"/>
      <c r="G4025" s="3"/>
      <c r="N4025" s="3"/>
      <c r="Q4025" s="3"/>
      <c r="R4025" s="3"/>
      <c r="S4025" s="3"/>
      <c r="V4025" s="3"/>
      <c r="W4025" s="3"/>
      <c r="X4025" s="3"/>
      <c r="Y4025" s="3"/>
      <c r="Z4025" s="3"/>
      <c r="AA4025" s="3"/>
      <c r="AB4025" s="3"/>
    </row>
    <row r="4026" spans="1:28" x14ac:dyDescent="0.3">
      <c r="A4026" s="2"/>
      <c r="F4026" s="3"/>
      <c r="G4026" s="3"/>
      <c r="N4026" s="3"/>
      <c r="Q4026" s="3"/>
      <c r="R4026" s="3"/>
      <c r="S4026" s="3"/>
      <c r="V4026" s="3"/>
      <c r="W4026" s="3"/>
      <c r="X4026" s="3"/>
      <c r="Y4026" s="3"/>
      <c r="Z4026" s="3"/>
      <c r="AA4026" s="3"/>
      <c r="AB4026" s="3"/>
    </row>
    <row r="4027" spans="1:28" x14ac:dyDescent="0.3">
      <c r="A4027" s="2"/>
      <c r="F4027" s="3"/>
      <c r="G4027" s="3"/>
      <c r="N4027" s="3"/>
      <c r="Q4027" s="3"/>
      <c r="R4027" s="3"/>
      <c r="S4027" s="3"/>
      <c r="V4027" s="3"/>
      <c r="W4027" s="3"/>
      <c r="X4027" s="3"/>
      <c r="Y4027" s="3"/>
      <c r="Z4027" s="3"/>
      <c r="AA4027" s="3"/>
      <c r="AB4027" s="3"/>
    </row>
    <row r="4028" spans="1:28" x14ac:dyDescent="0.3">
      <c r="A4028" s="2"/>
      <c r="F4028" s="3"/>
      <c r="G4028" s="3"/>
      <c r="N4028" s="3"/>
      <c r="Q4028" s="3"/>
      <c r="R4028" s="3"/>
      <c r="S4028" s="3"/>
      <c r="V4028" s="3"/>
      <c r="W4028" s="3"/>
      <c r="X4028" s="3"/>
      <c r="Y4028" s="3"/>
      <c r="Z4028" s="3"/>
      <c r="AA4028" s="3"/>
      <c r="AB4028" s="3"/>
    </row>
    <row r="4029" spans="1:28" x14ac:dyDescent="0.3">
      <c r="A4029" s="2"/>
      <c r="F4029" s="3"/>
      <c r="G4029" s="3"/>
      <c r="N4029" s="3"/>
      <c r="Q4029" s="3"/>
      <c r="R4029" s="3"/>
      <c r="S4029" s="3"/>
      <c r="V4029" s="3"/>
      <c r="W4029" s="3"/>
      <c r="X4029" s="3"/>
      <c r="Y4029" s="3"/>
      <c r="Z4029" s="3"/>
      <c r="AA4029" s="3"/>
      <c r="AB4029" s="3"/>
    </row>
    <row r="4030" spans="1:28" x14ac:dyDescent="0.3">
      <c r="A4030" s="2"/>
      <c r="F4030" s="3"/>
      <c r="G4030" s="3"/>
      <c r="N4030" s="3"/>
      <c r="Q4030" s="3"/>
      <c r="R4030" s="3"/>
      <c r="S4030" s="3"/>
      <c r="V4030" s="3"/>
      <c r="W4030" s="3"/>
      <c r="X4030" s="3"/>
      <c r="Y4030" s="3"/>
      <c r="Z4030" s="3"/>
      <c r="AA4030" s="3"/>
      <c r="AB4030" s="3"/>
    </row>
    <row r="4031" spans="1:28" x14ac:dyDescent="0.3">
      <c r="A4031" s="2"/>
      <c r="F4031" s="3"/>
      <c r="G4031" s="3"/>
      <c r="N4031" s="3"/>
      <c r="Q4031" s="3"/>
      <c r="R4031" s="3"/>
      <c r="S4031" s="3"/>
      <c r="V4031" s="3"/>
      <c r="W4031" s="3"/>
      <c r="X4031" s="3"/>
      <c r="Y4031" s="3"/>
      <c r="Z4031" s="3"/>
      <c r="AA4031" s="3"/>
      <c r="AB4031" s="3"/>
    </row>
    <row r="4032" spans="1:28" x14ac:dyDescent="0.3">
      <c r="A4032" s="2"/>
      <c r="F4032" s="3"/>
      <c r="G4032" s="3"/>
      <c r="N4032" s="3"/>
      <c r="Q4032" s="3"/>
      <c r="R4032" s="3"/>
      <c r="S4032" s="3"/>
      <c r="V4032" s="3"/>
      <c r="W4032" s="3"/>
      <c r="X4032" s="3"/>
      <c r="Y4032" s="3"/>
      <c r="Z4032" s="3"/>
      <c r="AA4032" s="3"/>
      <c r="AB4032" s="3"/>
    </row>
    <row r="4033" spans="1:28" x14ac:dyDescent="0.3">
      <c r="A4033" s="2"/>
      <c r="F4033" s="3"/>
      <c r="G4033" s="3"/>
      <c r="N4033" s="3"/>
      <c r="Q4033" s="3"/>
      <c r="R4033" s="3"/>
      <c r="S4033" s="3"/>
      <c r="V4033" s="3"/>
      <c r="W4033" s="3"/>
      <c r="X4033" s="3"/>
      <c r="Y4033" s="3"/>
      <c r="Z4033" s="3"/>
      <c r="AA4033" s="3"/>
      <c r="AB4033" s="3"/>
    </row>
    <row r="4034" spans="1:28" x14ac:dyDescent="0.3">
      <c r="A4034" s="2"/>
      <c r="F4034" s="3"/>
      <c r="G4034" s="3"/>
      <c r="N4034" s="3"/>
      <c r="Q4034" s="3"/>
      <c r="R4034" s="3"/>
      <c r="S4034" s="3"/>
      <c r="V4034" s="3"/>
      <c r="W4034" s="3"/>
      <c r="X4034" s="3"/>
      <c r="Y4034" s="3"/>
      <c r="Z4034" s="3"/>
      <c r="AA4034" s="3"/>
      <c r="AB4034" s="3"/>
    </row>
    <row r="4035" spans="1:28" x14ac:dyDescent="0.3">
      <c r="A4035" s="2"/>
      <c r="F4035" s="3"/>
      <c r="G4035" s="3"/>
      <c r="N4035" s="3"/>
      <c r="Q4035" s="3"/>
      <c r="R4035" s="3"/>
      <c r="S4035" s="3"/>
      <c r="V4035" s="3"/>
      <c r="W4035" s="3"/>
      <c r="X4035" s="3"/>
      <c r="Y4035" s="3"/>
      <c r="Z4035" s="3"/>
      <c r="AA4035" s="3"/>
      <c r="AB4035" s="3"/>
    </row>
    <row r="4036" spans="1:28" x14ac:dyDescent="0.3">
      <c r="A4036" s="2"/>
      <c r="F4036" s="3"/>
      <c r="G4036" s="3"/>
      <c r="N4036" s="3"/>
      <c r="Q4036" s="3"/>
      <c r="R4036" s="3"/>
      <c r="S4036" s="3"/>
      <c r="V4036" s="3"/>
      <c r="W4036" s="3"/>
      <c r="X4036" s="3"/>
      <c r="Y4036" s="3"/>
      <c r="Z4036" s="3"/>
      <c r="AA4036" s="3"/>
      <c r="AB4036" s="3"/>
    </row>
    <row r="4037" spans="1:28" x14ac:dyDescent="0.3">
      <c r="A4037" s="2"/>
      <c r="F4037" s="3"/>
      <c r="G4037" s="3"/>
      <c r="N4037" s="3"/>
      <c r="Q4037" s="3"/>
      <c r="R4037" s="3"/>
      <c r="S4037" s="3"/>
      <c r="V4037" s="3"/>
      <c r="W4037" s="3"/>
      <c r="X4037" s="3"/>
      <c r="Y4037" s="3"/>
      <c r="Z4037" s="3"/>
      <c r="AA4037" s="3"/>
      <c r="AB4037" s="3"/>
    </row>
    <row r="4038" spans="1:28" x14ac:dyDescent="0.3">
      <c r="A4038" s="2"/>
      <c r="F4038" s="3"/>
      <c r="G4038" s="3"/>
      <c r="N4038" s="3"/>
      <c r="Q4038" s="3"/>
      <c r="R4038" s="3"/>
      <c r="S4038" s="3"/>
      <c r="V4038" s="3"/>
      <c r="W4038" s="3"/>
      <c r="X4038" s="3"/>
      <c r="Y4038" s="3"/>
      <c r="Z4038" s="3"/>
      <c r="AA4038" s="3"/>
      <c r="AB4038" s="3"/>
    </row>
    <row r="4039" spans="1:28" x14ac:dyDescent="0.3">
      <c r="A4039" s="2"/>
      <c r="F4039" s="3"/>
      <c r="G4039" s="3"/>
      <c r="N4039" s="3"/>
      <c r="Q4039" s="3"/>
      <c r="R4039" s="3"/>
      <c r="S4039" s="3"/>
      <c r="V4039" s="3"/>
      <c r="W4039" s="3"/>
      <c r="X4039" s="3"/>
      <c r="Y4039" s="3"/>
      <c r="Z4039" s="3"/>
      <c r="AA4039" s="3"/>
      <c r="AB4039" s="3"/>
    </row>
    <row r="4040" spans="1:28" x14ac:dyDescent="0.3">
      <c r="A4040" s="2"/>
      <c r="F4040" s="3"/>
      <c r="G4040" s="3"/>
      <c r="N4040" s="3"/>
      <c r="Q4040" s="3"/>
      <c r="R4040" s="3"/>
      <c r="S4040" s="3"/>
      <c r="V4040" s="3"/>
      <c r="W4040" s="3"/>
      <c r="X4040" s="3"/>
      <c r="Y4040" s="3"/>
      <c r="Z4040" s="3"/>
      <c r="AA4040" s="3"/>
      <c r="AB4040" s="3"/>
    </row>
    <row r="4041" spans="1:28" x14ac:dyDescent="0.3">
      <c r="A4041" s="2"/>
      <c r="F4041" s="3"/>
      <c r="G4041" s="3"/>
      <c r="N4041" s="3"/>
      <c r="Q4041" s="3"/>
      <c r="R4041" s="3"/>
      <c r="S4041" s="3"/>
      <c r="V4041" s="3"/>
      <c r="W4041" s="3"/>
      <c r="X4041" s="3"/>
      <c r="Y4041" s="3"/>
      <c r="Z4041" s="3"/>
      <c r="AA4041" s="3"/>
      <c r="AB4041" s="3"/>
    </row>
    <row r="4042" spans="1:28" x14ac:dyDescent="0.3">
      <c r="A4042" s="2"/>
      <c r="F4042" s="3"/>
      <c r="G4042" s="3"/>
      <c r="N4042" s="3"/>
      <c r="Q4042" s="3"/>
      <c r="R4042" s="3"/>
      <c r="S4042" s="3"/>
      <c r="V4042" s="3"/>
      <c r="W4042" s="3"/>
      <c r="X4042" s="3"/>
      <c r="Y4042" s="3"/>
      <c r="Z4042" s="3"/>
      <c r="AA4042" s="3"/>
      <c r="AB4042" s="3"/>
    </row>
    <row r="4043" spans="1:28" x14ac:dyDescent="0.3">
      <c r="A4043" s="2"/>
      <c r="F4043" s="3"/>
      <c r="G4043" s="3"/>
      <c r="N4043" s="3"/>
      <c r="Q4043" s="3"/>
      <c r="R4043" s="3"/>
      <c r="S4043" s="3"/>
      <c r="V4043" s="3"/>
      <c r="W4043" s="3"/>
      <c r="X4043" s="3"/>
      <c r="Y4043" s="3"/>
      <c r="Z4043" s="3"/>
      <c r="AA4043" s="3"/>
      <c r="AB4043" s="3"/>
    </row>
    <row r="4044" spans="1:28" x14ac:dyDescent="0.3">
      <c r="A4044" s="2"/>
      <c r="F4044" s="3"/>
      <c r="G4044" s="3"/>
      <c r="N4044" s="3"/>
      <c r="Q4044" s="3"/>
      <c r="R4044" s="3"/>
      <c r="S4044" s="3"/>
      <c r="V4044" s="3"/>
      <c r="W4044" s="3"/>
      <c r="X4044" s="3"/>
      <c r="Y4044" s="3"/>
      <c r="Z4044" s="3"/>
      <c r="AA4044" s="3"/>
      <c r="AB4044" s="3"/>
    </row>
    <row r="4045" spans="1:28" x14ac:dyDescent="0.3">
      <c r="A4045" s="2"/>
      <c r="F4045" s="3"/>
      <c r="G4045" s="3"/>
      <c r="N4045" s="3"/>
      <c r="Q4045" s="3"/>
      <c r="R4045" s="3"/>
      <c r="S4045" s="3"/>
      <c r="V4045" s="3"/>
      <c r="W4045" s="3"/>
      <c r="X4045" s="3"/>
      <c r="Y4045" s="3"/>
      <c r="Z4045" s="3"/>
      <c r="AA4045" s="3"/>
      <c r="AB4045" s="3"/>
    </row>
    <row r="4046" spans="1:28" x14ac:dyDescent="0.3">
      <c r="A4046" s="2"/>
      <c r="F4046" s="3"/>
      <c r="G4046" s="3"/>
      <c r="N4046" s="3"/>
      <c r="Q4046" s="3"/>
      <c r="R4046" s="3"/>
      <c r="S4046" s="3"/>
      <c r="V4046" s="3"/>
      <c r="W4046" s="3"/>
      <c r="X4046" s="3"/>
      <c r="Y4046" s="3"/>
      <c r="Z4046" s="3"/>
      <c r="AA4046" s="3"/>
      <c r="AB4046" s="3"/>
    </row>
    <row r="4047" spans="1:28" x14ac:dyDescent="0.3">
      <c r="A4047" s="2"/>
      <c r="F4047" s="3"/>
      <c r="G4047" s="3"/>
      <c r="N4047" s="3"/>
      <c r="Q4047" s="3"/>
      <c r="R4047" s="3"/>
      <c r="S4047" s="3"/>
      <c r="V4047" s="3"/>
      <c r="W4047" s="3"/>
      <c r="X4047" s="3"/>
      <c r="Y4047" s="3"/>
      <c r="Z4047" s="3"/>
      <c r="AA4047" s="3"/>
      <c r="AB4047" s="3"/>
    </row>
    <row r="4048" spans="1:28" x14ac:dyDescent="0.3">
      <c r="A4048" s="2"/>
      <c r="F4048" s="3"/>
      <c r="G4048" s="3"/>
      <c r="N4048" s="3"/>
      <c r="Q4048" s="3"/>
      <c r="R4048" s="3"/>
      <c r="S4048" s="3"/>
      <c r="V4048" s="3"/>
      <c r="W4048" s="3"/>
      <c r="X4048" s="3"/>
      <c r="Y4048" s="3"/>
      <c r="Z4048" s="3"/>
      <c r="AA4048" s="3"/>
      <c r="AB4048" s="3"/>
    </row>
    <row r="4049" spans="1:28" x14ac:dyDescent="0.3">
      <c r="A4049" s="2"/>
      <c r="F4049" s="3"/>
      <c r="G4049" s="3"/>
      <c r="N4049" s="3"/>
      <c r="Q4049" s="3"/>
      <c r="R4049" s="3"/>
      <c r="S4049" s="3"/>
      <c r="V4049" s="3"/>
      <c r="W4049" s="3"/>
      <c r="X4049" s="3"/>
      <c r="Y4049" s="3"/>
      <c r="Z4049" s="3"/>
      <c r="AA4049" s="3"/>
      <c r="AB4049" s="3"/>
    </row>
    <row r="4050" spans="1:28" x14ac:dyDescent="0.3">
      <c r="A4050" s="2"/>
      <c r="F4050" s="3"/>
      <c r="G4050" s="3"/>
      <c r="N4050" s="3"/>
      <c r="Q4050" s="3"/>
      <c r="R4050" s="3"/>
      <c r="S4050" s="3"/>
      <c r="V4050" s="3"/>
      <c r="W4050" s="3"/>
      <c r="X4050" s="3"/>
      <c r="Y4050" s="3"/>
      <c r="Z4050" s="3"/>
      <c r="AA4050" s="3"/>
      <c r="AB4050" s="3"/>
    </row>
    <row r="4051" spans="1:28" x14ac:dyDescent="0.3">
      <c r="A4051" s="2"/>
      <c r="F4051" s="3"/>
      <c r="G4051" s="3"/>
      <c r="N4051" s="3"/>
      <c r="Q4051" s="3"/>
      <c r="R4051" s="3"/>
      <c r="S4051" s="3"/>
      <c r="V4051" s="3"/>
      <c r="W4051" s="3"/>
      <c r="X4051" s="3"/>
      <c r="Y4051" s="3"/>
      <c r="Z4051" s="3"/>
      <c r="AA4051" s="3"/>
      <c r="AB4051" s="3"/>
    </row>
    <row r="4052" spans="1:28" x14ac:dyDescent="0.3">
      <c r="A4052" s="2"/>
      <c r="F4052" s="3"/>
      <c r="G4052" s="3"/>
      <c r="N4052" s="3"/>
      <c r="Q4052" s="3"/>
      <c r="R4052" s="3"/>
      <c r="S4052" s="3"/>
      <c r="V4052" s="3"/>
      <c r="W4052" s="3"/>
      <c r="X4052" s="3"/>
      <c r="Y4052" s="3"/>
      <c r="Z4052" s="3"/>
      <c r="AA4052" s="3"/>
      <c r="AB4052" s="3"/>
    </row>
    <row r="4053" spans="1:28" x14ac:dyDescent="0.3">
      <c r="A4053" s="2"/>
      <c r="F4053" s="3"/>
      <c r="G4053" s="3"/>
      <c r="N4053" s="3"/>
      <c r="Q4053" s="3"/>
      <c r="R4053" s="3"/>
      <c r="S4053" s="3"/>
      <c r="V4053" s="3"/>
      <c r="W4053" s="3"/>
      <c r="X4053" s="3"/>
      <c r="Y4053" s="3"/>
      <c r="Z4053" s="3"/>
      <c r="AA4053" s="3"/>
      <c r="AB4053" s="3"/>
    </row>
    <row r="4054" spans="1:28" x14ac:dyDescent="0.3">
      <c r="A4054" s="2"/>
      <c r="F4054" s="3"/>
      <c r="G4054" s="3"/>
      <c r="N4054" s="3"/>
      <c r="Q4054" s="3"/>
      <c r="R4054" s="3"/>
      <c r="S4054" s="3"/>
      <c r="V4054" s="3"/>
      <c r="W4054" s="3"/>
      <c r="X4054" s="3"/>
      <c r="Y4054" s="3"/>
      <c r="Z4054" s="3"/>
      <c r="AA4054" s="3"/>
      <c r="AB4054" s="3"/>
    </row>
    <row r="4055" spans="1:28" x14ac:dyDescent="0.3">
      <c r="A4055" s="2"/>
      <c r="F4055" s="3"/>
      <c r="G4055" s="3"/>
      <c r="N4055" s="3"/>
      <c r="Q4055" s="3"/>
      <c r="R4055" s="3"/>
      <c r="S4055" s="3"/>
      <c r="V4055" s="3"/>
      <c r="W4055" s="3"/>
      <c r="X4055" s="3"/>
      <c r="Y4055" s="3"/>
      <c r="Z4055" s="3"/>
      <c r="AA4055" s="3"/>
      <c r="AB4055" s="3"/>
    </row>
    <row r="4056" spans="1:28" x14ac:dyDescent="0.3">
      <c r="A4056" s="2"/>
      <c r="F4056" s="3"/>
      <c r="G4056" s="3"/>
      <c r="N4056" s="3"/>
      <c r="Q4056" s="3"/>
      <c r="R4056" s="3"/>
      <c r="S4056" s="3"/>
      <c r="V4056" s="3"/>
      <c r="W4056" s="3"/>
      <c r="X4056" s="3"/>
      <c r="Y4056" s="3"/>
      <c r="Z4056" s="3"/>
      <c r="AA4056" s="3"/>
      <c r="AB4056" s="3"/>
    </row>
    <row r="4057" spans="1:28" x14ac:dyDescent="0.3">
      <c r="A4057" s="2"/>
      <c r="F4057" s="3"/>
      <c r="G4057" s="3"/>
      <c r="N4057" s="3"/>
      <c r="Q4057" s="3"/>
      <c r="R4057" s="3"/>
      <c r="S4057" s="3"/>
      <c r="V4057" s="3"/>
      <c r="W4057" s="3"/>
      <c r="X4057" s="3"/>
      <c r="Y4057" s="3"/>
      <c r="Z4057" s="3"/>
      <c r="AA4057" s="3"/>
      <c r="AB4057" s="3"/>
    </row>
    <row r="4058" spans="1:28" x14ac:dyDescent="0.3">
      <c r="A4058" s="2"/>
      <c r="F4058" s="3"/>
      <c r="G4058" s="3"/>
      <c r="N4058" s="3"/>
      <c r="Q4058" s="3"/>
      <c r="R4058" s="3"/>
      <c r="S4058" s="3"/>
      <c r="V4058" s="3"/>
      <c r="W4058" s="3"/>
      <c r="X4058" s="3"/>
      <c r="Y4058" s="3"/>
      <c r="Z4058" s="3"/>
      <c r="AA4058" s="3"/>
      <c r="AB4058" s="3"/>
    </row>
    <row r="4059" spans="1:28" x14ac:dyDescent="0.3">
      <c r="A4059" s="2"/>
      <c r="F4059" s="3"/>
      <c r="G4059" s="3"/>
      <c r="N4059" s="3"/>
      <c r="Q4059" s="3"/>
      <c r="R4059" s="3"/>
      <c r="S4059" s="3"/>
      <c r="V4059" s="3"/>
      <c r="W4059" s="3"/>
      <c r="X4059" s="3"/>
      <c r="Y4059" s="3"/>
      <c r="Z4059" s="3"/>
      <c r="AA4059" s="3"/>
      <c r="AB4059" s="3"/>
    </row>
    <row r="4060" spans="1:28" x14ac:dyDescent="0.3">
      <c r="A4060" s="2"/>
      <c r="F4060" s="3"/>
      <c r="G4060" s="3"/>
      <c r="N4060" s="3"/>
      <c r="Q4060" s="3"/>
      <c r="R4060" s="3"/>
      <c r="S4060" s="3"/>
      <c r="V4060" s="3"/>
      <c r="W4060" s="3"/>
      <c r="X4060" s="3"/>
      <c r="Y4060" s="3"/>
      <c r="Z4060" s="3"/>
      <c r="AA4060" s="3"/>
      <c r="AB4060" s="3"/>
    </row>
    <row r="4061" spans="1:28" x14ac:dyDescent="0.3">
      <c r="A4061" s="2"/>
      <c r="F4061" s="3"/>
      <c r="G4061" s="3"/>
      <c r="N4061" s="3"/>
      <c r="Q4061" s="3"/>
      <c r="R4061" s="3"/>
      <c r="S4061" s="3"/>
      <c r="V4061" s="3"/>
      <c r="W4061" s="3"/>
      <c r="X4061" s="3"/>
      <c r="Y4061" s="3"/>
      <c r="Z4061" s="3"/>
      <c r="AA4061" s="3"/>
      <c r="AB4061" s="3"/>
    </row>
    <row r="4062" spans="1:28" x14ac:dyDescent="0.3">
      <c r="A4062" s="2"/>
      <c r="F4062" s="3"/>
      <c r="G4062" s="3"/>
      <c r="N4062" s="3"/>
      <c r="Q4062" s="3"/>
      <c r="R4062" s="3"/>
      <c r="S4062" s="3"/>
      <c r="V4062" s="3"/>
      <c r="W4062" s="3"/>
      <c r="X4062" s="3"/>
      <c r="Y4062" s="3"/>
      <c r="Z4062" s="3"/>
      <c r="AA4062" s="3"/>
      <c r="AB4062" s="3"/>
    </row>
    <row r="4063" spans="1:28" x14ac:dyDescent="0.3">
      <c r="A4063" s="2"/>
      <c r="F4063" s="3"/>
      <c r="G4063" s="3"/>
      <c r="N4063" s="3"/>
      <c r="Q4063" s="3"/>
      <c r="R4063" s="3"/>
      <c r="S4063" s="3"/>
      <c r="V4063" s="3"/>
      <c r="W4063" s="3"/>
      <c r="X4063" s="3"/>
      <c r="Y4063" s="3"/>
      <c r="Z4063" s="3"/>
      <c r="AA4063" s="3"/>
      <c r="AB4063" s="3"/>
    </row>
    <row r="4064" spans="1:28" x14ac:dyDescent="0.3">
      <c r="A4064" s="2"/>
      <c r="F4064" s="3"/>
      <c r="G4064" s="3"/>
      <c r="N4064" s="3"/>
      <c r="Q4064" s="3"/>
      <c r="R4064" s="3"/>
      <c r="S4064" s="3"/>
      <c r="V4064" s="3"/>
      <c r="W4064" s="3"/>
      <c r="X4064" s="3"/>
      <c r="Y4064" s="3"/>
      <c r="Z4064" s="3"/>
      <c r="AA4064" s="3"/>
      <c r="AB4064" s="3"/>
    </row>
    <row r="4065" spans="1:28" x14ac:dyDescent="0.3">
      <c r="A4065" s="2"/>
      <c r="F4065" s="3"/>
      <c r="G4065" s="3"/>
      <c r="N4065" s="3"/>
      <c r="Q4065" s="3"/>
      <c r="R4065" s="3"/>
      <c r="S4065" s="3"/>
      <c r="V4065" s="3"/>
      <c r="W4065" s="3"/>
      <c r="X4065" s="3"/>
      <c r="Y4065" s="3"/>
      <c r="Z4065" s="3"/>
      <c r="AA4065" s="3"/>
      <c r="AB4065" s="3"/>
    </row>
    <row r="4066" spans="1:28" x14ac:dyDescent="0.3">
      <c r="A4066" s="2"/>
      <c r="F4066" s="3"/>
      <c r="G4066" s="3"/>
      <c r="N4066" s="3"/>
      <c r="Q4066" s="3"/>
      <c r="R4066" s="3"/>
      <c r="S4066" s="3"/>
      <c r="V4066" s="3"/>
      <c r="W4066" s="3"/>
      <c r="X4066" s="3"/>
      <c r="Y4066" s="3"/>
      <c r="Z4066" s="3"/>
      <c r="AA4066" s="3"/>
      <c r="AB4066" s="3"/>
    </row>
    <row r="4067" spans="1:28" x14ac:dyDescent="0.3">
      <c r="A4067" s="2"/>
      <c r="F4067" s="3"/>
      <c r="G4067" s="3"/>
      <c r="N4067" s="3"/>
      <c r="Q4067" s="3"/>
      <c r="R4067" s="3"/>
      <c r="S4067" s="3"/>
      <c r="V4067" s="3"/>
      <c r="W4067" s="3"/>
      <c r="X4067" s="3"/>
      <c r="Y4067" s="3"/>
      <c r="Z4067" s="3"/>
      <c r="AA4067" s="3"/>
      <c r="AB4067" s="3"/>
    </row>
    <row r="4068" spans="1:28" x14ac:dyDescent="0.3">
      <c r="A4068" s="2"/>
      <c r="F4068" s="3"/>
      <c r="G4068" s="3"/>
      <c r="N4068" s="3"/>
      <c r="Q4068" s="3"/>
      <c r="R4068" s="3"/>
      <c r="S4068" s="3"/>
      <c r="V4068" s="3"/>
      <c r="W4068" s="3"/>
      <c r="X4068" s="3"/>
      <c r="Y4068" s="3"/>
      <c r="Z4068" s="3"/>
      <c r="AA4068" s="3"/>
      <c r="AB4068" s="3"/>
    </row>
    <row r="4069" spans="1:28" x14ac:dyDescent="0.3">
      <c r="A4069" s="2"/>
      <c r="F4069" s="3"/>
      <c r="G4069" s="3"/>
      <c r="N4069" s="3"/>
      <c r="Q4069" s="3"/>
      <c r="R4069" s="3"/>
      <c r="S4069" s="3"/>
      <c r="V4069" s="3"/>
      <c r="W4069" s="3"/>
      <c r="X4069" s="3"/>
      <c r="Y4069" s="3"/>
      <c r="Z4069" s="3"/>
      <c r="AA4069" s="3"/>
      <c r="AB4069" s="3"/>
    </row>
    <row r="4070" spans="1:28" x14ac:dyDescent="0.3">
      <c r="A4070" s="2"/>
      <c r="F4070" s="3"/>
      <c r="G4070" s="3"/>
      <c r="N4070" s="3"/>
      <c r="Q4070" s="3"/>
      <c r="R4070" s="3"/>
      <c r="S4070" s="3"/>
      <c r="V4070" s="3"/>
      <c r="W4070" s="3"/>
      <c r="X4070" s="3"/>
      <c r="Y4070" s="3"/>
      <c r="Z4070" s="3"/>
      <c r="AA4070" s="3"/>
      <c r="AB4070" s="3"/>
    </row>
    <row r="4071" spans="1:28" x14ac:dyDescent="0.3">
      <c r="A4071" s="2"/>
      <c r="F4071" s="3"/>
      <c r="G4071" s="3"/>
      <c r="N4071" s="3"/>
      <c r="Q4071" s="3"/>
      <c r="R4071" s="3"/>
      <c r="S4071" s="3"/>
      <c r="V4071" s="3"/>
      <c r="W4071" s="3"/>
      <c r="X4071" s="3"/>
      <c r="Y4071" s="3"/>
      <c r="Z4071" s="3"/>
      <c r="AA4071" s="3"/>
      <c r="AB4071" s="3"/>
    </row>
    <row r="4072" spans="1:28" x14ac:dyDescent="0.3">
      <c r="A4072" s="2"/>
      <c r="F4072" s="3"/>
      <c r="G4072" s="3"/>
      <c r="N4072" s="3"/>
      <c r="Q4072" s="3"/>
      <c r="R4072" s="3"/>
      <c r="S4072" s="3"/>
      <c r="V4072" s="3"/>
      <c r="W4072" s="3"/>
      <c r="X4072" s="3"/>
      <c r="Y4072" s="3"/>
      <c r="Z4072" s="3"/>
      <c r="AA4072" s="3"/>
      <c r="AB4072" s="3"/>
    </row>
    <row r="4073" spans="1:28" x14ac:dyDescent="0.3">
      <c r="A4073" s="2"/>
      <c r="F4073" s="3"/>
      <c r="G4073" s="3"/>
      <c r="N4073" s="3"/>
      <c r="Q4073" s="3"/>
      <c r="R4073" s="3"/>
      <c r="S4073" s="3"/>
      <c r="V4073" s="3"/>
      <c r="W4073" s="3"/>
      <c r="X4073" s="3"/>
      <c r="Y4073" s="3"/>
      <c r="Z4073" s="3"/>
      <c r="AA4073" s="3"/>
      <c r="AB4073" s="3"/>
    </row>
    <row r="4074" spans="1:28" x14ac:dyDescent="0.3">
      <c r="A4074" s="2"/>
      <c r="F4074" s="3"/>
      <c r="G4074" s="3"/>
      <c r="N4074" s="3"/>
      <c r="Q4074" s="3"/>
      <c r="R4074" s="3"/>
      <c r="S4074" s="3"/>
      <c r="V4074" s="3"/>
      <c r="W4074" s="3"/>
      <c r="X4074" s="3"/>
      <c r="Y4074" s="3"/>
      <c r="Z4074" s="3"/>
      <c r="AA4074" s="3"/>
      <c r="AB4074" s="3"/>
    </row>
    <row r="4075" spans="1:28" x14ac:dyDescent="0.3">
      <c r="A4075" s="2"/>
      <c r="F4075" s="3"/>
      <c r="G4075" s="3"/>
      <c r="N4075" s="3"/>
      <c r="Q4075" s="3"/>
      <c r="R4075" s="3"/>
      <c r="S4075" s="3"/>
      <c r="V4075" s="3"/>
      <c r="W4075" s="3"/>
      <c r="X4075" s="3"/>
      <c r="Y4075" s="3"/>
      <c r="Z4075" s="3"/>
      <c r="AA4075" s="3"/>
      <c r="AB4075" s="3"/>
    </row>
    <row r="4076" spans="1:28" x14ac:dyDescent="0.3">
      <c r="A4076" s="2"/>
      <c r="F4076" s="3"/>
      <c r="G4076" s="3"/>
      <c r="N4076" s="3"/>
      <c r="Q4076" s="3"/>
      <c r="R4076" s="3"/>
      <c r="S4076" s="3"/>
      <c r="V4076" s="3"/>
      <c r="W4076" s="3"/>
      <c r="X4076" s="3"/>
      <c r="Y4076" s="3"/>
      <c r="Z4076" s="3"/>
      <c r="AA4076" s="3"/>
      <c r="AB4076" s="3"/>
    </row>
    <row r="4077" spans="1:28" x14ac:dyDescent="0.3">
      <c r="A4077" s="2"/>
      <c r="F4077" s="3"/>
      <c r="G4077" s="3"/>
      <c r="N4077" s="3"/>
      <c r="Q4077" s="3"/>
      <c r="R4077" s="3"/>
      <c r="S4077" s="3"/>
      <c r="V4077" s="3"/>
      <c r="W4077" s="3"/>
      <c r="X4077" s="3"/>
      <c r="Y4077" s="3"/>
      <c r="Z4077" s="3"/>
      <c r="AA4077" s="3"/>
      <c r="AB4077" s="3"/>
    </row>
    <row r="4078" spans="1:28" x14ac:dyDescent="0.3">
      <c r="A4078" s="2"/>
      <c r="F4078" s="3"/>
      <c r="G4078" s="3"/>
      <c r="N4078" s="3"/>
      <c r="Q4078" s="3"/>
      <c r="R4078" s="3"/>
      <c r="S4078" s="3"/>
      <c r="V4078" s="3"/>
      <c r="W4078" s="3"/>
      <c r="X4078" s="3"/>
      <c r="Y4078" s="3"/>
      <c r="Z4078" s="3"/>
      <c r="AA4078" s="3"/>
      <c r="AB4078" s="3"/>
    </row>
    <row r="4079" spans="1:28" x14ac:dyDescent="0.3">
      <c r="A4079" s="2"/>
      <c r="F4079" s="3"/>
      <c r="G4079" s="3"/>
      <c r="N4079" s="3"/>
      <c r="Q4079" s="3"/>
      <c r="R4079" s="3"/>
      <c r="S4079" s="3"/>
      <c r="V4079" s="3"/>
      <c r="W4079" s="3"/>
      <c r="X4079" s="3"/>
      <c r="Y4079" s="3"/>
      <c r="Z4079" s="3"/>
      <c r="AA4079" s="3"/>
      <c r="AB4079" s="3"/>
    </row>
    <row r="4080" spans="1:28" x14ac:dyDescent="0.3">
      <c r="A4080" s="2"/>
      <c r="F4080" s="3"/>
      <c r="G4080" s="3"/>
      <c r="N4080" s="3"/>
      <c r="Q4080" s="3"/>
      <c r="R4080" s="3"/>
      <c r="S4080" s="3"/>
      <c r="V4080" s="3"/>
      <c r="W4080" s="3"/>
      <c r="X4080" s="3"/>
      <c r="Y4080" s="3"/>
      <c r="Z4080" s="3"/>
      <c r="AA4080" s="3"/>
      <c r="AB4080" s="3"/>
    </row>
    <row r="4081" spans="1:28" x14ac:dyDescent="0.3">
      <c r="A4081" s="2"/>
      <c r="F4081" s="3"/>
      <c r="G4081" s="3"/>
      <c r="N4081" s="3"/>
      <c r="Q4081" s="3"/>
      <c r="R4081" s="3"/>
      <c r="S4081" s="3"/>
      <c r="V4081" s="3"/>
      <c r="W4081" s="3"/>
      <c r="X4081" s="3"/>
      <c r="Y4081" s="3"/>
      <c r="Z4081" s="3"/>
      <c r="AA4081" s="3"/>
      <c r="AB4081" s="3"/>
    </row>
    <row r="4082" spans="1:28" x14ac:dyDescent="0.3">
      <c r="A4082" s="2"/>
      <c r="F4082" s="3"/>
      <c r="G4082" s="3"/>
      <c r="N4082" s="3"/>
      <c r="Q4082" s="3"/>
      <c r="R4082" s="3"/>
      <c r="S4082" s="3"/>
      <c r="V4082" s="3"/>
      <c r="W4082" s="3"/>
      <c r="X4082" s="3"/>
      <c r="Y4082" s="3"/>
      <c r="Z4082" s="3"/>
      <c r="AA4082" s="3"/>
      <c r="AB4082" s="3"/>
    </row>
    <row r="4083" spans="1:28" x14ac:dyDescent="0.3">
      <c r="A4083" s="2"/>
      <c r="F4083" s="3"/>
      <c r="G4083" s="3"/>
      <c r="N4083" s="3"/>
      <c r="Q4083" s="3"/>
      <c r="R4083" s="3"/>
      <c r="S4083" s="3"/>
      <c r="V4083" s="3"/>
      <c r="W4083" s="3"/>
      <c r="X4083" s="3"/>
      <c r="Y4083" s="3"/>
      <c r="Z4083" s="3"/>
      <c r="AA4083" s="3"/>
      <c r="AB4083" s="3"/>
    </row>
    <row r="4084" spans="1:28" x14ac:dyDescent="0.3">
      <c r="A4084" s="2"/>
      <c r="F4084" s="3"/>
      <c r="G4084" s="3"/>
      <c r="N4084" s="3"/>
      <c r="Q4084" s="3"/>
      <c r="R4084" s="3"/>
      <c r="S4084" s="3"/>
      <c r="V4084" s="3"/>
      <c r="W4084" s="3"/>
      <c r="X4084" s="3"/>
      <c r="Y4084" s="3"/>
      <c r="Z4084" s="3"/>
      <c r="AA4084" s="3"/>
      <c r="AB4084" s="3"/>
    </row>
    <row r="4085" spans="1:28" x14ac:dyDescent="0.3">
      <c r="A4085" s="2"/>
      <c r="F4085" s="3"/>
      <c r="G4085" s="3"/>
      <c r="N4085" s="3"/>
      <c r="Q4085" s="3"/>
      <c r="R4085" s="3"/>
      <c r="S4085" s="3"/>
      <c r="V4085" s="3"/>
      <c r="W4085" s="3"/>
      <c r="X4085" s="3"/>
      <c r="Y4085" s="3"/>
      <c r="Z4085" s="3"/>
      <c r="AA4085" s="3"/>
      <c r="AB4085" s="3"/>
    </row>
    <row r="4086" spans="1:28" x14ac:dyDescent="0.3">
      <c r="A4086" s="2"/>
      <c r="F4086" s="3"/>
      <c r="G4086" s="3"/>
      <c r="N4086" s="3"/>
      <c r="Q4086" s="3"/>
      <c r="R4086" s="3"/>
      <c r="S4086" s="3"/>
      <c r="V4086" s="3"/>
      <c r="W4086" s="3"/>
      <c r="X4086" s="3"/>
      <c r="Y4086" s="3"/>
      <c r="Z4086" s="3"/>
      <c r="AA4086" s="3"/>
      <c r="AB4086" s="3"/>
    </row>
    <row r="4087" spans="1:28" x14ac:dyDescent="0.3">
      <c r="A4087" s="2"/>
      <c r="F4087" s="3"/>
      <c r="G4087" s="3"/>
      <c r="N4087" s="3"/>
      <c r="Q4087" s="3"/>
      <c r="R4087" s="3"/>
      <c r="S4087" s="3"/>
      <c r="V4087" s="3"/>
      <c r="W4087" s="3"/>
      <c r="X4087" s="3"/>
      <c r="Y4087" s="3"/>
      <c r="Z4087" s="3"/>
      <c r="AA4087" s="3"/>
      <c r="AB4087" s="3"/>
    </row>
    <row r="4088" spans="1:28" x14ac:dyDescent="0.3">
      <c r="A4088" s="2"/>
      <c r="F4088" s="3"/>
      <c r="G4088" s="3"/>
      <c r="N4088" s="3"/>
      <c r="Q4088" s="3"/>
      <c r="R4088" s="3"/>
      <c r="S4088" s="3"/>
      <c r="V4088" s="3"/>
      <c r="W4088" s="3"/>
      <c r="X4088" s="3"/>
      <c r="Y4088" s="3"/>
      <c r="Z4088" s="3"/>
      <c r="AA4088" s="3"/>
      <c r="AB4088" s="3"/>
    </row>
    <row r="4089" spans="1:28" x14ac:dyDescent="0.3">
      <c r="A4089" s="2"/>
      <c r="F4089" s="3"/>
      <c r="G4089" s="3"/>
      <c r="N4089" s="3"/>
      <c r="Q4089" s="3"/>
      <c r="R4089" s="3"/>
      <c r="S4089" s="3"/>
      <c r="V4089" s="3"/>
      <c r="W4089" s="3"/>
      <c r="X4089" s="3"/>
      <c r="Y4089" s="3"/>
      <c r="Z4089" s="3"/>
      <c r="AA4089" s="3"/>
      <c r="AB4089" s="3"/>
    </row>
    <row r="4090" spans="1:28" x14ac:dyDescent="0.3">
      <c r="A4090" s="2"/>
      <c r="F4090" s="3"/>
      <c r="G4090" s="3"/>
      <c r="N4090" s="3"/>
      <c r="Q4090" s="3"/>
      <c r="R4090" s="3"/>
      <c r="S4090" s="3"/>
      <c r="V4090" s="3"/>
      <c r="W4090" s="3"/>
      <c r="X4090" s="3"/>
      <c r="Y4090" s="3"/>
      <c r="Z4090" s="3"/>
      <c r="AA4090" s="3"/>
      <c r="AB4090" s="3"/>
    </row>
    <row r="4091" spans="1:28" x14ac:dyDescent="0.3">
      <c r="A4091" s="2"/>
      <c r="F4091" s="3"/>
      <c r="G4091" s="3"/>
      <c r="N4091" s="3"/>
      <c r="Q4091" s="3"/>
      <c r="R4091" s="3"/>
      <c r="S4091" s="3"/>
      <c r="V4091" s="3"/>
      <c r="W4091" s="3"/>
      <c r="X4091" s="3"/>
      <c r="Y4091" s="3"/>
      <c r="Z4091" s="3"/>
      <c r="AA4091" s="3"/>
      <c r="AB4091" s="3"/>
    </row>
    <row r="4092" spans="1:28" x14ac:dyDescent="0.3">
      <c r="A4092" s="2"/>
      <c r="F4092" s="3"/>
      <c r="G4092" s="3"/>
      <c r="N4092" s="3"/>
      <c r="Q4092" s="3"/>
      <c r="R4092" s="3"/>
      <c r="S4092" s="3"/>
      <c r="V4092" s="3"/>
      <c r="W4092" s="3"/>
      <c r="X4092" s="3"/>
      <c r="Y4092" s="3"/>
      <c r="Z4092" s="3"/>
      <c r="AA4092" s="3"/>
      <c r="AB4092" s="3"/>
    </row>
    <row r="4093" spans="1:28" x14ac:dyDescent="0.3">
      <c r="A4093" s="2"/>
      <c r="F4093" s="3"/>
      <c r="G4093" s="3"/>
      <c r="N4093" s="3"/>
      <c r="Q4093" s="3"/>
      <c r="R4093" s="3"/>
      <c r="S4093" s="3"/>
      <c r="V4093" s="3"/>
      <c r="W4093" s="3"/>
      <c r="X4093" s="3"/>
      <c r="Y4093" s="3"/>
      <c r="Z4093" s="3"/>
      <c r="AA4093" s="3"/>
      <c r="AB4093" s="3"/>
    </row>
    <row r="4094" spans="1:28" x14ac:dyDescent="0.3">
      <c r="A4094" s="2"/>
      <c r="F4094" s="3"/>
      <c r="G4094" s="3"/>
      <c r="N4094" s="3"/>
      <c r="Q4094" s="3"/>
      <c r="R4094" s="3"/>
      <c r="S4094" s="3"/>
      <c r="V4094" s="3"/>
      <c r="W4094" s="3"/>
      <c r="X4094" s="3"/>
      <c r="Y4094" s="3"/>
      <c r="Z4094" s="3"/>
      <c r="AA4094" s="3"/>
      <c r="AB4094" s="3"/>
    </row>
    <row r="4095" spans="1:28" x14ac:dyDescent="0.3">
      <c r="A4095" s="2"/>
      <c r="F4095" s="3"/>
      <c r="G4095" s="3"/>
      <c r="N4095" s="3"/>
      <c r="Q4095" s="3"/>
      <c r="R4095" s="3"/>
      <c r="S4095" s="3"/>
      <c r="V4095" s="3"/>
      <c r="W4095" s="3"/>
      <c r="X4095" s="3"/>
      <c r="Y4095" s="3"/>
      <c r="Z4095" s="3"/>
      <c r="AA4095" s="3"/>
      <c r="AB4095" s="3"/>
    </row>
    <row r="4096" spans="1:28" x14ac:dyDescent="0.3">
      <c r="A4096" s="2"/>
      <c r="F4096" s="3"/>
      <c r="G4096" s="3"/>
      <c r="N4096" s="3"/>
      <c r="Q4096" s="3"/>
      <c r="R4096" s="3"/>
      <c r="S4096" s="3"/>
      <c r="V4096" s="3"/>
      <c r="W4096" s="3"/>
      <c r="X4096" s="3"/>
      <c r="Y4096" s="3"/>
      <c r="Z4096" s="3"/>
      <c r="AA4096" s="3"/>
      <c r="AB4096" s="3"/>
    </row>
    <row r="4097" spans="1:28" x14ac:dyDescent="0.3">
      <c r="A4097" s="2"/>
      <c r="F4097" s="3"/>
      <c r="G4097" s="3"/>
      <c r="N4097" s="3"/>
      <c r="Q4097" s="3"/>
      <c r="R4097" s="3"/>
      <c r="S4097" s="3"/>
      <c r="V4097" s="3"/>
      <c r="W4097" s="3"/>
      <c r="X4097" s="3"/>
      <c r="Y4097" s="3"/>
      <c r="Z4097" s="3"/>
      <c r="AA4097" s="3"/>
      <c r="AB4097" s="3"/>
    </row>
    <row r="4098" spans="1:28" x14ac:dyDescent="0.3">
      <c r="A4098" s="2"/>
      <c r="F4098" s="3"/>
      <c r="G4098" s="3"/>
      <c r="N4098" s="3"/>
      <c r="Q4098" s="3"/>
      <c r="R4098" s="3"/>
      <c r="S4098" s="3"/>
      <c r="V4098" s="3"/>
      <c r="W4098" s="3"/>
      <c r="X4098" s="3"/>
      <c r="Y4098" s="3"/>
      <c r="Z4098" s="3"/>
      <c r="AA4098" s="3"/>
      <c r="AB4098" s="3"/>
    </row>
    <row r="4099" spans="1:28" x14ac:dyDescent="0.3">
      <c r="A4099" s="2"/>
      <c r="F4099" s="3"/>
      <c r="G4099" s="3"/>
      <c r="N4099" s="3"/>
      <c r="Q4099" s="3"/>
      <c r="R4099" s="3"/>
      <c r="S4099" s="3"/>
      <c r="V4099" s="3"/>
      <c r="W4099" s="3"/>
      <c r="X4099" s="3"/>
      <c r="Y4099" s="3"/>
      <c r="Z4099" s="3"/>
      <c r="AA4099" s="3"/>
      <c r="AB4099" s="3"/>
    </row>
    <row r="4100" spans="1:28" x14ac:dyDescent="0.3">
      <c r="A4100" s="2"/>
      <c r="F4100" s="3"/>
      <c r="G4100" s="3"/>
      <c r="N4100" s="3"/>
      <c r="Q4100" s="3"/>
      <c r="R4100" s="3"/>
      <c r="S4100" s="3"/>
      <c r="V4100" s="3"/>
      <c r="W4100" s="3"/>
      <c r="X4100" s="3"/>
      <c r="Y4100" s="3"/>
      <c r="Z4100" s="3"/>
      <c r="AA4100" s="3"/>
      <c r="AB4100" s="3"/>
    </row>
    <row r="4101" spans="1:28" x14ac:dyDescent="0.3">
      <c r="A4101" s="2"/>
      <c r="F4101" s="3"/>
      <c r="G4101" s="3"/>
      <c r="N4101" s="3"/>
      <c r="Q4101" s="3"/>
      <c r="R4101" s="3"/>
      <c r="S4101" s="3"/>
      <c r="V4101" s="3"/>
      <c r="W4101" s="3"/>
      <c r="X4101" s="3"/>
      <c r="Y4101" s="3"/>
      <c r="Z4101" s="3"/>
      <c r="AA4101" s="3"/>
      <c r="AB4101" s="3"/>
    </row>
    <row r="4102" spans="1:28" x14ac:dyDescent="0.3">
      <c r="A4102" s="2"/>
      <c r="F4102" s="3"/>
      <c r="G4102" s="3"/>
      <c r="N4102" s="3"/>
      <c r="Q4102" s="3"/>
      <c r="R4102" s="3"/>
      <c r="S4102" s="3"/>
      <c r="V4102" s="3"/>
      <c r="W4102" s="3"/>
      <c r="X4102" s="3"/>
      <c r="Y4102" s="3"/>
      <c r="Z4102" s="3"/>
      <c r="AA4102" s="3"/>
      <c r="AB4102" s="3"/>
    </row>
    <row r="4103" spans="1:28" x14ac:dyDescent="0.3">
      <c r="A4103" s="2"/>
      <c r="F4103" s="3"/>
      <c r="G4103" s="3"/>
      <c r="N4103" s="3"/>
      <c r="Q4103" s="3"/>
      <c r="R4103" s="3"/>
      <c r="S4103" s="3"/>
      <c r="V4103" s="3"/>
      <c r="W4103" s="3"/>
      <c r="X4103" s="3"/>
      <c r="Y4103" s="3"/>
      <c r="Z4103" s="3"/>
      <c r="AA4103" s="3"/>
      <c r="AB4103" s="3"/>
    </row>
    <row r="4104" spans="1:28" x14ac:dyDescent="0.3">
      <c r="A4104" s="2"/>
      <c r="F4104" s="3"/>
      <c r="G4104" s="3"/>
      <c r="N4104" s="3"/>
      <c r="Q4104" s="3"/>
      <c r="R4104" s="3"/>
      <c r="S4104" s="3"/>
      <c r="V4104" s="3"/>
      <c r="W4104" s="3"/>
      <c r="X4104" s="3"/>
      <c r="Y4104" s="3"/>
      <c r="Z4104" s="3"/>
      <c r="AA4104" s="3"/>
      <c r="AB4104" s="3"/>
    </row>
    <row r="4105" spans="1:28" x14ac:dyDescent="0.3">
      <c r="A4105" s="2"/>
      <c r="F4105" s="3"/>
      <c r="G4105" s="3"/>
      <c r="N4105" s="3"/>
      <c r="Q4105" s="3"/>
      <c r="R4105" s="3"/>
      <c r="S4105" s="3"/>
      <c r="V4105" s="3"/>
      <c r="W4105" s="3"/>
      <c r="X4105" s="3"/>
      <c r="Y4105" s="3"/>
      <c r="Z4105" s="3"/>
      <c r="AA4105" s="3"/>
      <c r="AB4105" s="3"/>
    </row>
    <row r="4106" spans="1:28" x14ac:dyDescent="0.3">
      <c r="A4106" s="2"/>
      <c r="F4106" s="3"/>
      <c r="G4106" s="3"/>
      <c r="N4106" s="3"/>
      <c r="Q4106" s="3"/>
      <c r="R4106" s="3"/>
      <c r="S4106" s="3"/>
      <c r="V4106" s="3"/>
      <c r="W4106" s="3"/>
      <c r="X4106" s="3"/>
      <c r="Y4106" s="3"/>
      <c r="Z4106" s="3"/>
      <c r="AA4106" s="3"/>
      <c r="AB4106" s="3"/>
    </row>
    <row r="4107" spans="1:28" x14ac:dyDescent="0.3">
      <c r="A4107" s="2"/>
      <c r="F4107" s="3"/>
      <c r="G4107" s="3"/>
      <c r="N4107" s="3"/>
      <c r="Q4107" s="3"/>
      <c r="R4107" s="3"/>
      <c r="S4107" s="3"/>
      <c r="V4107" s="3"/>
      <c r="W4107" s="3"/>
      <c r="X4107" s="3"/>
      <c r="Y4107" s="3"/>
      <c r="Z4107" s="3"/>
      <c r="AA4107" s="3"/>
      <c r="AB4107" s="3"/>
    </row>
    <row r="4108" spans="1:28" x14ac:dyDescent="0.3">
      <c r="A4108" s="2"/>
      <c r="F4108" s="3"/>
      <c r="G4108" s="3"/>
      <c r="N4108" s="3"/>
      <c r="Q4108" s="3"/>
      <c r="R4108" s="3"/>
      <c r="S4108" s="3"/>
      <c r="V4108" s="3"/>
      <c r="W4108" s="3"/>
      <c r="X4108" s="3"/>
      <c r="Y4108" s="3"/>
      <c r="Z4108" s="3"/>
      <c r="AA4108" s="3"/>
      <c r="AB4108" s="3"/>
    </row>
    <row r="4109" spans="1:28" x14ac:dyDescent="0.3">
      <c r="A4109" s="2"/>
      <c r="F4109" s="3"/>
      <c r="G4109" s="3"/>
      <c r="N4109" s="3"/>
      <c r="Q4109" s="3"/>
      <c r="R4109" s="3"/>
      <c r="S4109" s="3"/>
      <c r="V4109" s="3"/>
      <c r="W4109" s="3"/>
      <c r="X4109" s="3"/>
      <c r="Y4109" s="3"/>
      <c r="Z4109" s="3"/>
      <c r="AA4109" s="3"/>
      <c r="AB4109" s="3"/>
    </row>
    <row r="4110" spans="1:28" x14ac:dyDescent="0.3">
      <c r="A4110" s="2"/>
      <c r="F4110" s="3"/>
      <c r="G4110" s="3"/>
      <c r="N4110" s="3"/>
      <c r="Q4110" s="3"/>
      <c r="R4110" s="3"/>
      <c r="S4110" s="3"/>
      <c r="V4110" s="3"/>
      <c r="W4110" s="3"/>
      <c r="X4110" s="3"/>
      <c r="Y4110" s="3"/>
      <c r="Z4110" s="3"/>
      <c r="AA4110" s="3"/>
      <c r="AB4110" s="3"/>
    </row>
    <row r="4111" spans="1:28" x14ac:dyDescent="0.3">
      <c r="A4111" s="2"/>
      <c r="F4111" s="3"/>
      <c r="G4111" s="3"/>
      <c r="N4111" s="3"/>
      <c r="Q4111" s="3"/>
      <c r="R4111" s="3"/>
      <c r="S4111" s="3"/>
      <c r="V4111" s="3"/>
      <c r="W4111" s="3"/>
      <c r="X4111" s="3"/>
      <c r="Y4111" s="3"/>
      <c r="Z4111" s="3"/>
      <c r="AA4111" s="3"/>
      <c r="AB4111" s="3"/>
    </row>
    <row r="4112" spans="1:28" x14ac:dyDescent="0.3">
      <c r="A4112" s="2"/>
      <c r="F4112" s="3"/>
      <c r="G4112" s="3"/>
      <c r="N4112" s="3"/>
      <c r="Q4112" s="3"/>
      <c r="R4112" s="3"/>
      <c r="S4112" s="3"/>
      <c r="V4112" s="3"/>
      <c r="W4112" s="3"/>
      <c r="X4112" s="3"/>
      <c r="Y4112" s="3"/>
      <c r="Z4112" s="3"/>
      <c r="AA4112" s="3"/>
      <c r="AB4112" s="3"/>
    </row>
    <row r="4113" spans="1:28" x14ac:dyDescent="0.3">
      <c r="A4113" s="2"/>
      <c r="F4113" s="3"/>
      <c r="G4113" s="3"/>
      <c r="N4113" s="3"/>
      <c r="Q4113" s="3"/>
      <c r="R4113" s="3"/>
      <c r="S4113" s="3"/>
      <c r="V4113" s="3"/>
      <c r="W4113" s="3"/>
      <c r="X4113" s="3"/>
      <c r="Y4113" s="3"/>
      <c r="Z4113" s="3"/>
      <c r="AA4113" s="3"/>
      <c r="AB4113" s="3"/>
    </row>
    <row r="4114" spans="1:28" x14ac:dyDescent="0.3">
      <c r="A4114" s="2"/>
      <c r="F4114" s="3"/>
      <c r="G4114" s="3"/>
      <c r="N4114" s="3"/>
      <c r="Q4114" s="3"/>
      <c r="R4114" s="3"/>
      <c r="S4114" s="3"/>
      <c r="V4114" s="3"/>
      <c r="W4114" s="3"/>
      <c r="X4114" s="3"/>
      <c r="Y4114" s="3"/>
      <c r="Z4114" s="3"/>
      <c r="AA4114" s="3"/>
      <c r="AB4114" s="3"/>
    </row>
    <row r="4115" spans="1:28" x14ac:dyDescent="0.3">
      <c r="A4115" s="2"/>
      <c r="F4115" s="3"/>
      <c r="G4115" s="3"/>
      <c r="N4115" s="3"/>
      <c r="Q4115" s="3"/>
      <c r="R4115" s="3"/>
      <c r="S4115" s="3"/>
      <c r="V4115" s="3"/>
      <c r="W4115" s="3"/>
      <c r="X4115" s="3"/>
      <c r="Y4115" s="3"/>
      <c r="Z4115" s="3"/>
      <c r="AA4115" s="3"/>
      <c r="AB4115" s="3"/>
    </row>
    <row r="4116" spans="1:28" x14ac:dyDescent="0.3">
      <c r="A4116" s="2"/>
      <c r="F4116" s="3"/>
      <c r="G4116" s="3"/>
      <c r="N4116" s="3"/>
      <c r="Q4116" s="3"/>
      <c r="R4116" s="3"/>
      <c r="S4116" s="3"/>
      <c r="V4116" s="3"/>
      <c r="W4116" s="3"/>
      <c r="X4116" s="3"/>
      <c r="Y4116" s="3"/>
      <c r="Z4116" s="3"/>
      <c r="AA4116" s="3"/>
      <c r="AB4116" s="3"/>
    </row>
    <row r="4117" spans="1:28" x14ac:dyDescent="0.3">
      <c r="A4117" s="2"/>
      <c r="F4117" s="3"/>
      <c r="G4117" s="3"/>
      <c r="N4117" s="3"/>
      <c r="Q4117" s="3"/>
      <c r="R4117" s="3"/>
      <c r="S4117" s="3"/>
      <c r="V4117" s="3"/>
      <c r="W4117" s="3"/>
      <c r="X4117" s="3"/>
      <c r="Y4117" s="3"/>
      <c r="Z4117" s="3"/>
      <c r="AA4117" s="3"/>
      <c r="AB4117" s="3"/>
    </row>
    <row r="4118" spans="1:28" x14ac:dyDescent="0.3">
      <c r="A4118" s="2"/>
      <c r="F4118" s="3"/>
      <c r="G4118" s="3"/>
      <c r="N4118" s="3"/>
      <c r="Q4118" s="3"/>
      <c r="R4118" s="3"/>
      <c r="S4118" s="3"/>
      <c r="V4118" s="3"/>
      <c r="W4118" s="3"/>
      <c r="X4118" s="3"/>
      <c r="Y4118" s="3"/>
      <c r="Z4118" s="3"/>
      <c r="AA4118" s="3"/>
      <c r="AB4118" s="3"/>
    </row>
    <row r="4119" spans="1:28" x14ac:dyDescent="0.3">
      <c r="A4119" s="2"/>
      <c r="F4119" s="3"/>
      <c r="G4119" s="3"/>
      <c r="N4119" s="3"/>
      <c r="Q4119" s="3"/>
      <c r="R4119" s="3"/>
      <c r="S4119" s="3"/>
      <c r="V4119" s="3"/>
      <c r="W4119" s="3"/>
      <c r="X4119" s="3"/>
      <c r="Y4119" s="3"/>
      <c r="Z4119" s="3"/>
      <c r="AA4119" s="3"/>
      <c r="AB4119" s="3"/>
    </row>
    <row r="4120" spans="1:28" x14ac:dyDescent="0.3">
      <c r="A4120" s="2"/>
      <c r="F4120" s="3"/>
      <c r="G4120" s="3"/>
      <c r="N4120" s="3"/>
      <c r="Q4120" s="3"/>
      <c r="R4120" s="3"/>
      <c r="S4120" s="3"/>
      <c r="V4120" s="3"/>
      <c r="W4120" s="3"/>
      <c r="X4120" s="3"/>
      <c r="Y4120" s="3"/>
      <c r="Z4120" s="3"/>
      <c r="AA4120" s="3"/>
      <c r="AB4120" s="3"/>
    </row>
    <row r="4121" spans="1:28" x14ac:dyDescent="0.3">
      <c r="A4121" s="2"/>
      <c r="F4121" s="3"/>
      <c r="G4121" s="3"/>
      <c r="N4121" s="3"/>
      <c r="Q4121" s="3"/>
      <c r="R4121" s="3"/>
      <c r="S4121" s="3"/>
      <c r="V4121" s="3"/>
      <c r="W4121" s="3"/>
      <c r="X4121" s="3"/>
      <c r="Y4121" s="3"/>
      <c r="Z4121" s="3"/>
      <c r="AA4121" s="3"/>
      <c r="AB4121" s="3"/>
    </row>
    <row r="4122" spans="1:28" x14ac:dyDescent="0.3">
      <c r="A4122" s="2"/>
      <c r="F4122" s="3"/>
      <c r="G4122" s="3"/>
      <c r="N4122" s="3"/>
      <c r="Q4122" s="3"/>
      <c r="R4122" s="3"/>
      <c r="S4122" s="3"/>
      <c r="V4122" s="3"/>
      <c r="W4122" s="3"/>
      <c r="X4122" s="3"/>
      <c r="Y4122" s="3"/>
      <c r="Z4122" s="3"/>
      <c r="AA4122" s="3"/>
      <c r="AB4122" s="3"/>
    </row>
    <row r="4123" spans="1:28" x14ac:dyDescent="0.3">
      <c r="A4123" s="2"/>
      <c r="F4123" s="3"/>
      <c r="G4123" s="3"/>
      <c r="N4123" s="3"/>
      <c r="Q4123" s="3"/>
      <c r="R4123" s="3"/>
      <c r="S4123" s="3"/>
      <c r="V4123" s="3"/>
      <c r="W4123" s="3"/>
      <c r="X4123" s="3"/>
      <c r="Y4123" s="3"/>
      <c r="Z4123" s="3"/>
      <c r="AA4123" s="3"/>
      <c r="AB4123" s="3"/>
    </row>
    <row r="4124" spans="1:28" x14ac:dyDescent="0.3">
      <c r="A4124" s="2"/>
      <c r="F4124" s="3"/>
      <c r="G4124" s="3"/>
      <c r="N4124" s="3"/>
      <c r="Q4124" s="3"/>
      <c r="R4124" s="3"/>
      <c r="S4124" s="3"/>
      <c r="V4124" s="3"/>
      <c r="W4124" s="3"/>
      <c r="X4124" s="3"/>
      <c r="Y4124" s="3"/>
      <c r="Z4124" s="3"/>
      <c r="AA4124" s="3"/>
      <c r="AB4124" s="3"/>
    </row>
    <row r="4125" spans="1:28" x14ac:dyDescent="0.3">
      <c r="A4125" s="2"/>
      <c r="F4125" s="3"/>
      <c r="G4125" s="3"/>
      <c r="N4125" s="3"/>
      <c r="Q4125" s="3"/>
      <c r="R4125" s="3"/>
      <c r="S4125" s="3"/>
      <c r="V4125" s="3"/>
      <c r="W4125" s="3"/>
      <c r="X4125" s="3"/>
      <c r="Y4125" s="3"/>
      <c r="Z4125" s="3"/>
      <c r="AA4125" s="3"/>
      <c r="AB4125" s="3"/>
    </row>
    <row r="4126" spans="1:28" x14ac:dyDescent="0.3">
      <c r="A4126" s="2"/>
      <c r="F4126" s="3"/>
      <c r="G4126" s="3"/>
      <c r="N4126" s="3"/>
      <c r="Q4126" s="3"/>
      <c r="R4126" s="3"/>
      <c r="S4126" s="3"/>
      <c r="V4126" s="3"/>
      <c r="W4126" s="3"/>
      <c r="X4126" s="3"/>
      <c r="Y4126" s="3"/>
      <c r="Z4126" s="3"/>
      <c r="AA4126" s="3"/>
      <c r="AB4126" s="3"/>
    </row>
    <row r="4127" spans="1:28" x14ac:dyDescent="0.3">
      <c r="A4127" s="2"/>
      <c r="F4127" s="3"/>
      <c r="G4127" s="3"/>
      <c r="N4127" s="3"/>
      <c r="Q4127" s="3"/>
      <c r="R4127" s="3"/>
      <c r="S4127" s="3"/>
      <c r="V4127" s="3"/>
      <c r="W4127" s="3"/>
      <c r="X4127" s="3"/>
      <c r="Y4127" s="3"/>
      <c r="Z4127" s="3"/>
      <c r="AA4127" s="3"/>
      <c r="AB4127" s="3"/>
    </row>
    <row r="4128" spans="1:28" x14ac:dyDescent="0.3">
      <c r="A4128" s="2"/>
      <c r="F4128" s="3"/>
      <c r="G4128" s="3"/>
      <c r="N4128" s="3"/>
      <c r="Q4128" s="3"/>
      <c r="R4128" s="3"/>
      <c r="S4128" s="3"/>
      <c r="V4128" s="3"/>
      <c r="W4128" s="3"/>
      <c r="X4128" s="3"/>
      <c r="Y4128" s="3"/>
      <c r="Z4128" s="3"/>
      <c r="AA4128" s="3"/>
      <c r="AB4128" s="3"/>
    </row>
    <row r="4129" spans="1:28" x14ac:dyDescent="0.3">
      <c r="A4129" s="2"/>
      <c r="F4129" s="3"/>
      <c r="G4129" s="3"/>
      <c r="N4129" s="3"/>
      <c r="Q4129" s="3"/>
      <c r="R4129" s="3"/>
      <c r="S4129" s="3"/>
      <c r="V4129" s="3"/>
      <c r="W4129" s="3"/>
      <c r="X4129" s="3"/>
      <c r="Y4129" s="3"/>
      <c r="Z4129" s="3"/>
      <c r="AA4129" s="3"/>
      <c r="AB4129" s="3"/>
    </row>
    <row r="4130" spans="1:28" x14ac:dyDescent="0.3">
      <c r="A4130" s="2"/>
      <c r="F4130" s="3"/>
      <c r="G4130" s="3"/>
      <c r="N4130" s="3"/>
      <c r="Q4130" s="3"/>
      <c r="R4130" s="3"/>
      <c r="S4130" s="3"/>
      <c r="V4130" s="3"/>
      <c r="W4130" s="3"/>
      <c r="X4130" s="3"/>
      <c r="Y4130" s="3"/>
      <c r="Z4130" s="3"/>
      <c r="AA4130" s="3"/>
      <c r="AB4130" s="3"/>
    </row>
    <row r="4131" spans="1:28" x14ac:dyDescent="0.3">
      <c r="A4131" s="2"/>
      <c r="F4131" s="3"/>
      <c r="G4131" s="3"/>
      <c r="N4131" s="3"/>
      <c r="Q4131" s="3"/>
      <c r="R4131" s="3"/>
      <c r="S4131" s="3"/>
      <c r="V4131" s="3"/>
      <c r="W4131" s="3"/>
      <c r="X4131" s="3"/>
      <c r="Y4131" s="3"/>
      <c r="Z4131" s="3"/>
      <c r="AA4131" s="3"/>
      <c r="AB4131" s="3"/>
    </row>
    <row r="4132" spans="1:28" x14ac:dyDescent="0.3">
      <c r="A4132" s="2"/>
      <c r="F4132" s="3"/>
      <c r="G4132" s="3"/>
      <c r="N4132" s="3"/>
      <c r="Q4132" s="3"/>
      <c r="R4132" s="3"/>
      <c r="S4132" s="3"/>
      <c r="V4132" s="3"/>
      <c r="W4132" s="3"/>
      <c r="X4132" s="3"/>
      <c r="Y4132" s="3"/>
      <c r="Z4132" s="3"/>
      <c r="AA4132" s="3"/>
      <c r="AB4132" s="3"/>
    </row>
    <row r="4133" spans="1:28" x14ac:dyDescent="0.3">
      <c r="A4133" s="2"/>
      <c r="F4133" s="3"/>
      <c r="G4133" s="3"/>
      <c r="N4133" s="3"/>
      <c r="Q4133" s="3"/>
      <c r="R4133" s="3"/>
      <c r="S4133" s="3"/>
      <c r="V4133" s="3"/>
      <c r="W4133" s="3"/>
      <c r="X4133" s="3"/>
      <c r="Y4133" s="3"/>
      <c r="Z4133" s="3"/>
      <c r="AA4133" s="3"/>
      <c r="AB4133" s="3"/>
    </row>
    <row r="4134" spans="1:28" x14ac:dyDescent="0.3">
      <c r="A4134" s="2"/>
      <c r="F4134" s="3"/>
      <c r="G4134" s="3"/>
      <c r="N4134" s="3"/>
      <c r="Q4134" s="3"/>
      <c r="R4134" s="3"/>
      <c r="S4134" s="3"/>
      <c r="V4134" s="3"/>
      <c r="W4134" s="3"/>
      <c r="X4134" s="3"/>
      <c r="Y4134" s="3"/>
      <c r="Z4134" s="3"/>
      <c r="AA4134" s="3"/>
      <c r="AB4134" s="3"/>
    </row>
    <row r="4135" spans="1:28" x14ac:dyDescent="0.3">
      <c r="A4135" s="2"/>
      <c r="F4135" s="3"/>
      <c r="G4135" s="3"/>
      <c r="N4135" s="3"/>
      <c r="Q4135" s="3"/>
      <c r="R4135" s="3"/>
      <c r="S4135" s="3"/>
      <c r="V4135" s="3"/>
      <c r="W4135" s="3"/>
      <c r="X4135" s="3"/>
      <c r="Y4135" s="3"/>
      <c r="Z4135" s="3"/>
      <c r="AA4135" s="3"/>
      <c r="AB4135" s="3"/>
    </row>
    <row r="4136" spans="1:28" x14ac:dyDescent="0.3">
      <c r="A4136" s="2"/>
      <c r="F4136" s="3"/>
      <c r="G4136" s="3"/>
      <c r="N4136" s="3"/>
      <c r="Q4136" s="3"/>
      <c r="R4136" s="3"/>
      <c r="S4136" s="3"/>
      <c r="V4136" s="3"/>
      <c r="W4136" s="3"/>
      <c r="X4136" s="3"/>
      <c r="Y4136" s="3"/>
      <c r="Z4136" s="3"/>
      <c r="AA4136" s="3"/>
      <c r="AB4136" s="3"/>
    </row>
    <row r="4137" spans="1:28" x14ac:dyDescent="0.3">
      <c r="A4137" s="2"/>
      <c r="F4137" s="3"/>
      <c r="G4137" s="3"/>
      <c r="N4137" s="3"/>
      <c r="Q4137" s="3"/>
      <c r="R4137" s="3"/>
      <c r="S4137" s="3"/>
      <c r="V4137" s="3"/>
      <c r="W4137" s="3"/>
      <c r="X4137" s="3"/>
      <c r="Y4137" s="3"/>
      <c r="Z4137" s="3"/>
      <c r="AA4137" s="3"/>
      <c r="AB4137" s="3"/>
    </row>
    <row r="4138" spans="1:28" x14ac:dyDescent="0.3">
      <c r="A4138" s="2"/>
      <c r="F4138" s="3"/>
      <c r="G4138" s="3"/>
      <c r="N4138" s="3"/>
      <c r="Q4138" s="3"/>
      <c r="R4138" s="3"/>
      <c r="S4138" s="3"/>
      <c r="V4138" s="3"/>
      <c r="W4138" s="3"/>
      <c r="X4138" s="3"/>
      <c r="Y4138" s="3"/>
      <c r="Z4138" s="3"/>
      <c r="AA4138" s="3"/>
      <c r="AB4138" s="3"/>
    </row>
    <row r="4139" spans="1:28" x14ac:dyDescent="0.3">
      <c r="A4139" s="2"/>
      <c r="F4139" s="3"/>
      <c r="G4139" s="3"/>
      <c r="N4139" s="3"/>
      <c r="Q4139" s="3"/>
      <c r="R4139" s="3"/>
      <c r="S4139" s="3"/>
      <c r="V4139" s="3"/>
      <c r="W4139" s="3"/>
      <c r="X4139" s="3"/>
      <c r="Y4139" s="3"/>
      <c r="Z4139" s="3"/>
      <c r="AA4139" s="3"/>
      <c r="AB4139" s="3"/>
    </row>
    <row r="4140" spans="1:28" x14ac:dyDescent="0.3">
      <c r="A4140" s="2"/>
      <c r="F4140" s="3"/>
      <c r="G4140" s="3"/>
      <c r="N4140" s="3"/>
      <c r="Q4140" s="3"/>
      <c r="R4140" s="3"/>
      <c r="S4140" s="3"/>
      <c r="V4140" s="3"/>
      <c r="W4140" s="3"/>
      <c r="X4140" s="3"/>
      <c r="Y4140" s="3"/>
      <c r="Z4140" s="3"/>
      <c r="AA4140" s="3"/>
      <c r="AB4140" s="3"/>
    </row>
    <row r="4141" spans="1:28" x14ac:dyDescent="0.3">
      <c r="A4141" s="2"/>
      <c r="F4141" s="3"/>
      <c r="G4141" s="3"/>
      <c r="N4141" s="3"/>
      <c r="Q4141" s="3"/>
      <c r="R4141" s="3"/>
      <c r="S4141" s="3"/>
      <c r="V4141" s="3"/>
      <c r="W4141" s="3"/>
      <c r="X4141" s="3"/>
      <c r="Y4141" s="3"/>
      <c r="Z4141" s="3"/>
      <c r="AA4141" s="3"/>
      <c r="AB4141" s="3"/>
    </row>
    <row r="4142" spans="1:28" x14ac:dyDescent="0.3">
      <c r="A4142" s="2"/>
      <c r="F4142" s="3"/>
      <c r="G4142" s="3"/>
      <c r="N4142" s="3"/>
      <c r="Q4142" s="3"/>
      <c r="R4142" s="3"/>
      <c r="S4142" s="3"/>
      <c r="V4142" s="3"/>
      <c r="W4142" s="3"/>
      <c r="X4142" s="3"/>
      <c r="Y4142" s="3"/>
      <c r="Z4142" s="3"/>
      <c r="AA4142" s="3"/>
      <c r="AB4142" s="3"/>
    </row>
    <row r="4143" spans="1:28" x14ac:dyDescent="0.3">
      <c r="A4143" s="2"/>
      <c r="F4143" s="3"/>
      <c r="G4143" s="3"/>
      <c r="N4143" s="3"/>
      <c r="Q4143" s="3"/>
      <c r="R4143" s="3"/>
      <c r="S4143" s="3"/>
      <c r="V4143" s="3"/>
      <c r="W4143" s="3"/>
      <c r="X4143" s="3"/>
      <c r="Y4143" s="3"/>
      <c r="Z4143" s="3"/>
      <c r="AA4143" s="3"/>
      <c r="AB4143" s="3"/>
    </row>
    <row r="4144" spans="1:28" x14ac:dyDescent="0.3">
      <c r="A4144" s="2"/>
      <c r="F4144" s="3"/>
      <c r="G4144" s="3"/>
      <c r="N4144" s="3"/>
      <c r="Q4144" s="3"/>
      <c r="R4144" s="3"/>
      <c r="S4144" s="3"/>
      <c r="V4144" s="3"/>
      <c r="W4144" s="3"/>
      <c r="X4144" s="3"/>
      <c r="Y4144" s="3"/>
      <c r="Z4144" s="3"/>
      <c r="AA4144" s="3"/>
      <c r="AB4144" s="3"/>
    </row>
    <row r="4145" spans="1:28" x14ac:dyDescent="0.3">
      <c r="A4145" s="2"/>
      <c r="F4145" s="3"/>
      <c r="G4145" s="3"/>
      <c r="N4145" s="3"/>
      <c r="Q4145" s="3"/>
      <c r="R4145" s="3"/>
      <c r="S4145" s="3"/>
      <c r="V4145" s="3"/>
      <c r="W4145" s="3"/>
      <c r="X4145" s="3"/>
      <c r="Y4145" s="3"/>
      <c r="Z4145" s="3"/>
      <c r="AA4145" s="3"/>
      <c r="AB4145" s="3"/>
    </row>
    <row r="4146" spans="1:28" x14ac:dyDescent="0.3">
      <c r="A4146" s="2"/>
      <c r="F4146" s="3"/>
      <c r="G4146" s="3"/>
      <c r="N4146" s="3"/>
      <c r="Q4146" s="3"/>
      <c r="R4146" s="3"/>
      <c r="S4146" s="3"/>
      <c r="V4146" s="3"/>
      <c r="W4146" s="3"/>
      <c r="X4146" s="3"/>
      <c r="Y4146" s="3"/>
      <c r="Z4146" s="3"/>
      <c r="AA4146" s="3"/>
      <c r="AB4146" s="3"/>
    </row>
    <row r="4147" spans="1:28" x14ac:dyDescent="0.3">
      <c r="A4147" s="2"/>
      <c r="F4147" s="3"/>
      <c r="G4147" s="3"/>
      <c r="N4147" s="3"/>
      <c r="Q4147" s="3"/>
      <c r="R4147" s="3"/>
      <c r="S4147" s="3"/>
      <c r="V4147" s="3"/>
      <c r="W4147" s="3"/>
      <c r="X4147" s="3"/>
      <c r="Y4147" s="3"/>
      <c r="Z4147" s="3"/>
      <c r="AA4147" s="3"/>
      <c r="AB4147" s="3"/>
    </row>
    <row r="4148" spans="1:28" x14ac:dyDescent="0.3">
      <c r="A4148" s="2"/>
      <c r="F4148" s="3"/>
      <c r="G4148" s="3"/>
      <c r="N4148" s="3"/>
      <c r="Q4148" s="3"/>
      <c r="R4148" s="3"/>
      <c r="S4148" s="3"/>
      <c r="V4148" s="3"/>
      <c r="W4148" s="3"/>
      <c r="X4148" s="3"/>
      <c r="Y4148" s="3"/>
      <c r="Z4148" s="3"/>
      <c r="AA4148" s="3"/>
      <c r="AB4148" s="3"/>
    </row>
    <row r="4149" spans="1:28" x14ac:dyDescent="0.3">
      <c r="A4149" s="2"/>
      <c r="F4149" s="3"/>
      <c r="G4149" s="3"/>
      <c r="N4149" s="3"/>
      <c r="Q4149" s="3"/>
      <c r="R4149" s="3"/>
      <c r="S4149" s="3"/>
      <c r="V4149" s="3"/>
      <c r="W4149" s="3"/>
      <c r="X4149" s="3"/>
      <c r="Y4149" s="3"/>
      <c r="Z4149" s="3"/>
      <c r="AA4149" s="3"/>
      <c r="AB4149" s="3"/>
    </row>
    <row r="4150" spans="1:28" x14ac:dyDescent="0.3">
      <c r="A4150" s="2"/>
      <c r="F4150" s="3"/>
      <c r="G4150" s="3"/>
      <c r="N4150" s="3"/>
      <c r="Q4150" s="3"/>
      <c r="R4150" s="3"/>
      <c r="S4150" s="3"/>
      <c r="V4150" s="3"/>
      <c r="W4150" s="3"/>
      <c r="X4150" s="3"/>
      <c r="Y4150" s="3"/>
      <c r="Z4150" s="3"/>
      <c r="AA4150" s="3"/>
      <c r="AB4150" s="3"/>
    </row>
    <row r="4151" spans="1:28" x14ac:dyDescent="0.3">
      <c r="A4151" s="2"/>
      <c r="F4151" s="3"/>
      <c r="G4151" s="3"/>
      <c r="N4151" s="3"/>
      <c r="Q4151" s="3"/>
      <c r="R4151" s="3"/>
      <c r="S4151" s="3"/>
      <c r="V4151" s="3"/>
      <c r="W4151" s="3"/>
      <c r="X4151" s="3"/>
      <c r="Y4151" s="3"/>
      <c r="Z4151" s="3"/>
      <c r="AA4151" s="3"/>
      <c r="AB4151" s="3"/>
    </row>
    <row r="4152" spans="1:28" x14ac:dyDescent="0.3">
      <c r="A4152" s="2"/>
      <c r="F4152" s="3"/>
      <c r="G4152" s="3"/>
      <c r="N4152" s="3"/>
      <c r="Q4152" s="3"/>
      <c r="R4152" s="3"/>
      <c r="S4152" s="3"/>
      <c r="V4152" s="3"/>
      <c r="W4152" s="3"/>
      <c r="X4152" s="3"/>
      <c r="Y4152" s="3"/>
      <c r="Z4152" s="3"/>
      <c r="AA4152" s="3"/>
      <c r="AB4152" s="3"/>
    </row>
    <row r="4153" spans="1:28" x14ac:dyDescent="0.3">
      <c r="A4153" s="2"/>
      <c r="F4153" s="3"/>
      <c r="G4153" s="3"/>
      <c r="N4153" s="3"/>
      <c r="Q4153" s="3"/>
      <c r="R4153" s="3"/>
      <c r="S4153" s="3"/>
      <c r="V4153" s="3"/>
      <c r="W4153" s="3"/>
      <c r="X4153" s="3"/>
      <c r="Y4153" s="3"/>
      <c r="Z4153" s="3"/>
      <c r="AA4153" s="3"/>
      <c r="AB4153" s="3"/>
    </row>
    <row r="4154" spans="1:28" x14ac:dyDescent="0.3">
      <c r="A4154" s="2"/>
      <c r="F4154" s="3"/>
      <c r="G4154" s="3"/>
      <c r="N4154" s="3"/>
      <c r="Q4154" s="3"/>
      <c r="R4154" s="3"/>
      <c r="S4154" s="3"/>
      <c r="V4154" s="3"/>
      <c r="W4154" s="3"/>
      <c r="X4154" s="3"/>
      <c r="Y4154" s="3"/>
      <c r="Z4154" s="3"/>
      <c r="AA4154" s="3"/>
      <c r="AB4154" s="3"/>
    </row>
    <row r="4155" spans="1:28" x14ac:dyDescent="0.3">
      <c r="A4155" s="2"/>
      <c r="F4155" s="3"/>
      <c r="G4155" s="3"/>
      <c r="N4155" s="3"/>
      <c r="Q4155" s="3"/>
      <c r="R4155" s="3"/>
      <c r="S4155" s="3"/>
      <c r="V4155" s="3"/>
      <c r="W4155" s="3"/>
      <c r="X4155" s="3"/>
      <c r="Y4155" s="3"/>
      <c r="Z4155" s="3"/>
      <c r="AA4155" s="3"/>
      <c r="AB4155" s="3"/>
    </row>
    <row r="4156" spans="1:28" x14ac:dyDescent="0.3">
      <c r="A4156" s="2"/>
      <c r="F4156" s="3"/>
      <c r="G4156" s="3"/>
      <c r="N4156" s="3"/>
      <c r="Q4156" s="3"/>
      <c r="R4156" s="3"/>
      <c r="S4156" s="3"/>
      <c r="V4156" s="3"/>
      <c r="W4156" s="3"/>
      <c r="X4156" s="3"/>
      <c r="Y4156" s="3"/>
      <c r="Z4156" s="3"/>
      <c r="AA4156" s="3"/>
      <c r="AB4156" s="3"/>
    </row>
    <row r="4157" spans="1:28" x14ac:dyDescent="0.3">
      <c r="A4157" s="2"/>
      <c r="F4157" s="3"/>
      <c r="G4157" s="3"/>
      <c r="N4157" s="3"/>
      <c r="Q4157" s="3"/>
      <c r="R4157" s="3"/>
      <c r="S4157" s="3"/>
      <c r="V4157" s="3"/>
      <c r="W4157" s="3"/>
      <c r="X4157" s="3"/>
      <c r="Y4157" s="3"/>
      <c r="Z4157" s="3"/>
      <c r="AA4157" s="3"/>
      <c r="AB4157" s="3"/>
    </row>
    <row r="4158" spans="1:28" x14ac:dyDescent="0.3">
      <c r="A4158" s="2"/>
      <c r="F4158" s="3"/>
      <c r="G4158" s="3"/>
      <c r="N4158" s="3"/>
      <c r="Q4158" s="3"/>
      <c r="R4158" s="3"/>
      <c r="S4158" s="3"/>
      <c r="V4158" s="3"/>
      <c r="W4158" s="3"/>
      <c r="X4158" s="3"/>
      <c r="Y4158" s="3"/>
      <c r="Z4158" s="3"/>
      <c r="AA4158" s="3"/>
      <c r="AB4158" s="3"/>
    </row>
    <row r="4159" spans="1:28" x14ac:dyDescent="0.3">
      <c r="A4159" s="2"/>
      <c r="F4159" s="3"/>
      <c r="G4159" s="3"/>
      <c r="N4159" s="3"/>
      <c r="Q4159" s="3"/>
      <c r="R4159" s="3"/>
      <c r="S4159" s="3"/>
      <c r="V4159" s="3"/>
      <c r="W4159" s="3"/>
      <c r="X4159" s="3"/>
      <c r="Y4159" s="3"/>
      <c r="Z4159" s="3"/>
      <c r="AA4159" s="3"/>
      <c r="AB4159" s="3"/>
    </row>
    <row r="4160" spans="1:28" x14ac:dyDescent="0.3">
      <c r="A4160" s="2"/>
      <c r="F4160" s="3"/>
      <c r="G4160" s="3"/>
      <c r="N4160" s="3"/>
      <c r="Q4160" s="3"/>
      <c r="R4160" s="3"/>
      <c r="S4160" s="3"/>
      <c r="V4160" s="3"/>
      <c r="W4160" s="3"/>
      <c r="X4160" s="3"/>
      <c r="Y4160" s="3"/>
      <c r="Z4160" s="3"/>
      <c r="AA4160" s="3"/>
      <c r="AB4160" s="3"/>
    </row>
    <row r="4161" spans="1:28" x14ac:dyDescent="0.3">
      <c r="A4161" s="2"/>
      <c r="F4161" s="3"/>
      <c r="G4161" s="3"/>
      <c r="N4161" s="3"/>
      <c r="Q4161" s="3"/>
      <c r="R4161" s="3"/>
      <c r="S4161" s="3"/>
      <c r="V4161" s="3"/>
      <c r="W4161" s="3"/>
      <c r="X4161" s="3"/>
      <c r="Y4161" s="3"/>
      <c r="Z4161" s="3"/>
      <c r="AA4161" s="3"/>
      <c r="AB4161" s="3"/>
    </row>
    <row r="4162" spans="1:28" x14ac:dyDescent="0.3">
      <c r="A4162" s="2"/>
      <c r="F4162" s="3"/>
      <c r="G4162" s="3"/>
      <c r="N4162" s="3"/>
      <c r="Q4162" s="3"/>
      <c r="R4162" s="3"/>
      <c r="S4162" s="3"/>
      <c r="V4162" s="3"/>
      <c r="W4162" s="3"/>
      <c r="X4162" s="3"/>
      <c r="Y4162" s="3"/>
      <c r="Z4162" s="3"/>
      <c r="AA4162" s="3"/>
      <c r="AB4162" s="3"/>
    </row>
    <row r="4163" spans="1:28" x14ac:dyDescent="0.3">
      <c r="A4163" s="2"/>
      <c r="F4163" s="3"/>
      <c r="G4163" s="3"/>
      <c r="N4163" s="3"/>
      <c r="Q4163" s="3"/>
      <c r="R4163" s="3"/>
      <c r="S4163" s="3"/>
      <c r="V4163" s="3"/>
      <c r="W4163" s="3"/>
      <c r="X4163" s="3"/>
      <c r="Y4163" s="3"/>
      <c r="Z4163" s="3"/>
      <c r="AA4163" s="3"/>
      <c r="AB4163" s="3"/>
    </row>
    <row r="4164" spans="1:28" x14ac:dyDescent="0.3">
      <c r="A4164" s="2"/>
      <c r="F4164" s="3"/>
      <c r="G4164" s="3"/>
      <c r="N4164" s="3"/>
      <c r="Q4164" s="3"/>
      <c r="R4164" s="3"/>
      <c r="S4164" s="3"/>
      <c r="V4164" s="3"/>
      <c r="W4164" s="3"/>
      <c r="X4164" s="3"/>
      <c r="Y4164" s="3"/>
      <c r="Z4164" s="3"/>
      <c r="AA4164" s="3"/>
      <c r="AB4164" s="3"/>
    </row>
    <row r="4165" spans="1:28" x14ac:dyDescent="0.3">
      <c r="A4165" s="2"/>
      <c r="F4165" s="3"/>
      <c r="G4165" s="3"/>
      <c r="N4165" s="3"/>
      <c r="Q4165" s="3"/>
      <c r="R4165" s="3"/>
      <c r="S4165" s="3"/>
      <c r="V4165" s="3"/>
      <c r="W4165" s="3"/>
      <c r="X4165" s="3"/>
      <c r="Y4165" s="3"/>
      <c r="Z4165" s="3"/>
      <c r="AA4165" s="3"/>
      <c r="AB4165" s="3"/>
    </row>
    <row r="4166" spans="1:28" x14ac:dyDescent="0.3">
      <c r="A4166" s="2"/>
      <c r="F4166" s="3"/>
      <c r="G4166" s="3"/>
      <c r="N4166" s="3"/>
      <c r="Q4166" s="3"/>
      <c r="R4166" s="3"/>
      <c r="S4166" s="3"/>
      <c r="V4166" s="3"/>
      <c r="W4166" s="3"/>
      <c r="X4166" s="3"/>
      <c r="Y4166" s="3"/>
      <c r="Z4166" s="3"/>
      <c r="AA4166" s="3"/>
      <c r="AB4166" s="3"/>
    </row>
    <row r="4167" spans="1:28" x14ac:dyDescent="0.3">
      <c r="A4167" s="2"/>
      <c r="F4167" s="3"/>
      <c r="G4167" s="3"/>
      <c r="N4167" s="3"/>
      <c r="Q4167" s="3"/>
      <c r="R4167" s="3"/>
      <c r="S4167" s="3"/>
      <c r="V4167" s="3"/>
      <c r="W4167" s="3"/>
      <c r="X4167" s="3"/>
      <c r="Y4167" s="3"/>
      <c r="Z4167" s="3"/>
      <c r="AA4167" s="3"/>
      <c r="AB4167" s="3"/>
    </row>
    <row r="4168" spans="1:28" x14ac:dyDescent="0.3">
      <c r="A4168" s="2"/>
      <c r="F4168" s="3"/>
      <c r="G4168" s="3"/>
      <c r="N4168" s="3"/>
      <c r="Q4168" s="3"/>
      <c r="R4168" s="3"/>
      <c r="S4168" s="3"/>
      <c r="V4168" s="3"/>
      <c r="W4168" s="3"/>
      <c r="X4168" s="3"/>
      <c r="Y4168" s="3"/>
      <c r="Z4168" s="3"/>
      <c r="AA4168" s="3"/>
      <c r="AB4168" s="3"/>
    </row>
    <row r="4169" spans="1:28" x14ac:dyDescent="0.3">
      <c r="A4169" s="2"/>
      <c r="F4169" s="3"/>
      <c r="G4169" s="3"/>
      <c r="N4169" s="3"/>
      <c r="Q4169" s="3"/>
      <c r="R4169" s="3"/>
      <c r="S4169" s="3"/>
      <c r="V4169" s="3"/>
      <c r="W4169" s="3"/>
      <c r="X4169" s="3"/>
      <c r="Y4169" s="3"/>
      <c r="Z4169" s="3"/>
      <c r="AA4169" s="3"/>
      <c r="AB4169" s="3"/>
    </row>
    <row r="4170" spans="1:28" x14ac:dyDescent="0.3">
      <c r="A4170" s="2"/>
      <c r="F4170" s="3"/>
      <c r="G4170" s="3"/>
      <c r="N4170" s="3"/>
      <c r="Q4170" s="3"/>
      <c r="R4170" s="3"/>
      <c r="S4170" s="3"/>
      <c r="V4170" s="3"/>
      <c r="W4170" s="3"/>
      <c r="X4170" s="3"/>
      <c r="Y4170" s="3"/>
      <c r="Z4170" s="3"/>
      <c r="AA4170" s="3"/>
      <c r="AB4170" s="3"/>
    </row>
    <row r="4171" spans="1:28" x14ac:dyDescent="0.3">
      <c r="A4171" s="2"/>
      <c r="F4171" s="3"/>
      <c r="G4171" s="3"/>
      <c r="N4171" s="3"/>
      <c r="Q4171" s="3"/>
      <c r="R4171" s="3"/>
      <c r="S4171" s="3"/>
      <c r="V4171" s="3"/>
      <c r="W4171" s="3"/>
      <c r="X4171" s="3"/>
      <c r="Y4171" s="3"/>
      <c r="Z4171" s="3"/>
      <c r="AA4171" s="3"/>
      <c r="AB4171" s="3"/>
    </row>
    <row r="4172" spans="1:28" x14ac:dyDescent="0.3">
      <c r="A4172" s="2"/>
      <c r="F4172" s="3"/>
      <c r="G4172" s="3"/>
      <c r="N4172" s="3"/>
      <c r="Q4172" s="3"/>
      <c r="R4172" s="3"/>
      <c r="S4172" s="3"/>
      <c r="V4172" s="3"/>
      <c r="W4172" s="3"/>
      <c r="X4172" s="3"/>
      <c r="Y4172" s="3"/>
      <c r="Z4172" s="3"/>
      <c r="AA4172" s="3"/>
      <c r="AB4172" s="3"/>
    </row>
    <row r="4173" spans="1:28" x14ac:dyDescent="0.3">
      <c r="A4173" s="2"/>
      <c r="F4173" s="3"/>
      <c r="G4173" s="3"/>
      <c r="N4173" s="3"/>
      <c r="Q4173" s="3"/>
      <c r="R4173" s="3"/>
      <c r="S4173" s="3"/>
      <c r="V4173" s="3"/>
      <c r="W4173" s="3"/>
      <c r="X4173" s="3"/>
      <c r="Y4173" s="3"/>
      <c r="Z4173" s="3"/>
      <c r="AA4173" s="3"/>
      <c r="AB4173" s="3"/>
    </row>
    <row r="4174" spans="1:28" x14ac:dyDescent="0.3">
      <c r="A4174" s="2"/>
      <c r="F4174" s="3"/>
      <c r="G4174" s="3"/>
      <c r="N4174" s="3"/>
      <c r="Q4174" s="3"/>
      <c r="R4174" s="3"/>
      <c r="S4174" s="3"/>
      <c r="V4174" s="3"/>
      <c r="W4174" s="3"/>
      <c r="X4174" s="3"/>
      <c r="Y4174" s="3"/>
      <c r="Z4174" s="3"/>
      <c r="AA4174" s="3"/>
      <c r="AB4174" s="3"/>
    </row>
    <row r="4175" spans="1:28" x14ac:dyDescent="0.3">
      <c r="A4175" s="2"/>
      <c r="F4175" s="3"/>
      <c r="G4175" s="3"/>
      <c r="N4175" s="3"/>
      <c r="Q4175" s="3"/>
      <c r="R4175" s="3"/>
      <c r="S4175" s="3"/>
      <c r="V4175" s="3"/>
      <c r="W4175" s="3"/>
      <c r="X4175" s="3"/>
      <c r="Y4175" s="3"/>
      <c r="Z4175" s="3"/>
      <c r="AA4175" s="3"/>
      <c r="AB4175" s="3"/>
    </row>
    <row r="4176" spans="1:28" x14ac:dyDescent="0.3">
      <c r="A4176" s="2"/>
      <c r="F4176" s="3"/>
      <c r="G4176" s="3"/>
      <c r="N4176" s="3"/>
      <c r="Q4176" s="3"/>
      <c r="R4176" s="3"/>
      <c r="S4176" s="3"/>
      <c r="V4176" s="3"/>
      <c r="W4176" s="3"/>
      <c r="X4176" s="3"/>
      <c r="Y4176" s="3"/>
      <c r="Z4176" s="3"/>
      <c r="AA4176" s="3"/>
      <c r="AB4176" s="3"/>
    </row>
    <row r="4177" spans="1:28" x14ac:dyDescent="0.3">
      <c r="A4177" s="2"/>
      <c r="F4177" s="3"/>
      <c r="G4177" s="3"/>
      <c r="N4177" s="3"/>
      <c r="Q4177" s="3"/>
      <c r="R4177" s="3"/>
      <c r="S4177" s="3"/>
      <c r="V4177" s="3"/>
      <c r="W4177" s="3"/>
      <c r="X4177" s="3"/>
      <c r="Y4177" s="3"/>
      <c r="Z4177" s="3"/>
      <c r="AA4177" s="3"/>
      <c r="AB4177" s="3"/>
    </row>
    <row r="4178" spans="1:28" x14ac:dyDescent="0.3">
      <c r="A4178" s="2"/>
      <c r="F4178" s="3"/>
      <c r="G4178" s="3"/>
      <c r="N4178" s="3"/>
      <c r="Q4178" s="3"/>
      <c r="R4178" s="3"/>
      <c r="S4178" s="3"/>
      <c r="V4178" s="3"/>
      <c r="W4178" s="3"/>
      <c r="X4178" s="3"/>
      <c r="Y4178" s="3"/>
      <c r="Z4178" s="3"/>
      <c r="AA4178" s="3"/>
      <c r="AB4178" s="3"/>
    </row>
    <row r="4179" spans="1:28" x14ac:dyDescent="0.3">
      <c r="A4179" s="2"/>
      <c r="F4179" s="3"/>
      <c r="G4179" s="3"/>
      <c r="N4179" s="3"/>
      <c r="Q4179" s="3"/>
      <c r="R4179" s="3"/>
      <c r="S4179" s="3"/>
      <c r="V4179" s="3"/>
      <c r="W4179" s="3"/>
      <c r="X4179" s="3"/>
      <c r="Y4179" s="3"/>
      <c r="Z4179" s="3"/>
      <c r="AA4179" s="3"/>
      <c r="AB4179" s="3"/>
    </row>
    <row r="4180" spans="1:28" x14ac:dyDescent="0.3">
      <c r="A4180" s="2"/>
      <c r="F4180" s="3"/>
      <c r="G4180" s="3"/>
      <c r="N4180" s="3"/>
      <c r="Q4180" s="3"/>
      <c r="R4180" s="3"/>
      <c r="S4180" s="3"/>
      <c r="V4180" s="3"/>
      <c r="W4180" s="3"/>
      <c r="X4180" s="3"/>
      <c r="Y4180" s="3"/>
      <c r="Z4180" s="3"/>
      <c r="AA4180" s="3"/>
      <c r="AB4180" s="3"/>
    </row>
    <row r="4181" spans="1:28" x14ac:dyDescent="0.3">
      <c r="A4181" s="2"/>
      <c r="F4181" s="3"/>
      <c r="G4181" s="3"/>
      <c r="N4181" s="3"/>
      <c r="Q4181" s="3"/>
      <c r="R4181" s="3"/>
      <c r="S4181" s="3"/>
      <c r="V4181" s="3"/>
      <c r="W4181" s="3"/>
      <c r="X4181" s="3"/>
      <c r="Y4181" s="3"/>
      <c r="Z4181" s="3"/>
      <c r="AA4181" s="3"/>
      <c r="AB4181" s="3"/>
    </row>
    <row r="4182" spans="1:28" x14ac:dyDescent="0.3">
      <c r="A4182" s="2"/>
      <c r="F4182" s="3"/>
      <c r="G4182" s="3"/>
      <c r="N4182" s="3"/>
      <c r="Q4182" s="3"/>
      <c r="R4182" s="3"/>
      <c r="S4182" s="3"/>
      <c r="V4182" s="3"/>
      <c r="W4182" s="3"/>
      <c r="X4182" s="3"/>
      <c r="Y4182" s="3"/>
      <c r="Z4182" s="3"/>
      <c r="AA4182" s="3"/>
      <c r="AB4182" s="3"/>
    </row>
    <row r="4183" spans="1:28" x14ac:dyDescent="0.3">
      <c r="A4183" s="2"/>
      <c r="F4183" s="3"/>
      <c r="G4183" s="3"/>
      <c r="N4183" s="3"/>
      <c r="Q4183" s="3"/>
      <c r="R4183" s="3"/>
      <c r="S4183" s="3"/>
      <c r="V4183" s="3"/>
      <c r="W4183" s="3"/>
      <c r="X4183" s="3"/>
      <c r="Y4183" s="3"/>
      <c r="Z4183" s="3"/>
      <c r="AA4183" s="3"/>
      <c r="AB4183" s="3"/>
    </row>
    <row r="4184" spans="1:28" x14ac:dyDescent="0.3">
      <c r="A4184" s="2"/>
      <c r="F4184" s="3"/>
      <c r="G4184" s="3"/>
      <c r="N4184" s="3"/>
      <c r="Q4184" s="3"/>
      <c r="R4184" s="3"/>
      <c r="S4184" s="3"/>
      <c r="V4184" s="3"/>
      <c r="W4184" s="3"/>
      <c r="X4184" s="3"/>
      <c r="Y4184" s="3"/>
      <c r="Z4184" s="3"/>
      <c r="AA4184" s="3"/>
      <c r="AB4184" s="3"/>
    </row>
    <row r="4185" spans="1:28" x14ac:dyDescent="0.3">
      <c r="A4185" s="2"/>
      <c r="F4185" s="3"/>
      <c r="G4185" s="3"/>
      <c r="N4185" s="3"/>
      <c r="Q4185" s="3"/>
      <c r="R4185" s="3"/>
      <c r="S4185" s="3"/>
      <c r="V4185" s="3"/>
      <c r="W4185" s="3"/>
      <c r="X4185" s="3"/>
      <c r="Y4185" s="3"/>
      <c r="Z4185" s="3"/>
      <c r="AA4185" s="3"/>
      <c r="AB4185" s="3"/>
    </row>
    <row r="4186" spans="1:28" x14ac:dyDescent="0.3">
      <c r="A4186" s="2"/>
      <c r="F4186" s="3"/>
      <c r="G4186" s="3"/>
      <c r="N4186" s="3"/>
      <c r="Q4186" s="3"/>
      <c r="R4186" s="3"/>
      <c r="S4186" s="3"/>
      <c r="V4186" s="3"/>
      <c r="W4186" s="3"/>
      <c r="X4186" s="3"/>
      <c r="Y4186" s="3"/>
      <c r="Z4186" s="3"/>
      <c r="AA4186" s="3"/>
      <c r="AB4186" s="3"/>
    </row>
    <row r="4187" spans="1:28" x14ac:dyDescent="0.3">
      <c r="A4187" s="2"/>
      <c r="F4187" s="3"/>
      <c r="G4187" s="3"/>
      <c r="N4187" s="3"/>
      <c r="Q4187" s="3"/>
      <c r="R4187" s="3"/>
      <c r="S4187" s="3"/>
      <c r="V4187" s="3"/>
      <c r="W4187" s="3"/>
      <c r="X4187" s="3"/>
      <c r="Y4187" s="3"/>
      <c r="Z4187" s="3"/>
      <c r="AA4187" s="3"/>
      <c r="AB4187" s="3"/>
    </row>
    <row r="4188" spans="1:28" x14ac:dyDescent="0.3">
      <c r="A4188" s="2"/>
      <c r="F4188" s="3"/>
      <c r="G4188" s="3"/>
      <c r="N4188" s="3"/>
      <c r="Q4188" s="3"/>
      <c r="R4188" s="3"/>
      <c r="S4188" s="3"/>
      <c r="V4188" s="3"/>
      <c r="W4188" s="3"/>
      <c r="X4188" s="3"/>
      <c r="Y4188" s="3"/>
      <c r="Z4188" s="3"/>
      <c r="AA4188" s="3"/>
      <c r="AB4188" s="3"/>
    </row>
    <row r="4189" spans="1:28" x14ac:dyDescent="0.3">
      <c r="A4189" s="2"/>
      <c r="F4189" s="3"/>
      <c r="G4189" s="3"/>
      <c r="N4189" s="3"/>
      <c r="Q4189" s="3"/>
      <c r="R4189" s="3"/>
      <c r="S4189" s="3"/>
      <c r="V4189" s="3"/>
      <c r="W4189" s="3"/>
      <c r="X4189" s="3"/>
      <c r="Y4189" s="3"/>
      <c r="Z4189" s="3"/>
      <c r="AA4189" s="3"/>
      <c r="AB4189" s="3"/>
    </row>
    <row r="4190" spans="1:28" x14ac:dyDescent="0.3">
      <c r="A4190" s="2"/>
      <c r="F4190" s="3"/>
      <c r="G4190" s="3"/>
      <c r="N4190" s="3"/>
      <c r="Q4190" s="3"/>
      <c r="R4190" s="3"/>
      <c r="S4190" s="3"/>
      <c r="V4190" s="3"/>
      <c r="W4190" s="3"/>
      <c r="X4190" s="3"/>
      <c r="Y4190" s="3"/>
      <c r="Z4190" s="3"/>
      <c r="AA4190" s="3"/>
      <c r="AB4190" s="3"/>
    </row>
    <row r="4191" spans="1:28" x14ac:dyDescent="0.3">
      <c r="A4191" s="2"/>
      <c r="F4191" s="3"/>
      <c r="G4191" s="3"/>
      <c r="N4191" s="3"/>
      <c r="Q4191" s="3"/>
      <c r="R4191" s="3"/>
      <c r="S4191" s="3"/>
      <c r="V4191" s="3"/>
      <c r="W4191" s="3"/>
      <c r="X4191" s="3"/>
      <c r="Y4191" s="3"/>
      <c r="Z4191" s="3"/>
      <c r="AA4191" s="3"/>
      <c r="AB4191" s="3"/>
    </row>
    <row r="4192" spans="1:28" x14ac:dyDescent="0.3">
      <c r="A4192" s="2"/>
      <c r="F4192" s="3"/>
      <c r="G4192" s="3"/>
      <c r="N4192" s="3"/>
      <c r="Q4192" s="3"/>
      <c r="R4192" s="3"/>
      <c r="S4192" s="3"/>
      <c r="V4192" s="3"/>
      <c r="W4192" s="3"/>
      <c r="X4192" s="3"/>
      <c r="Y4192" s="3"/>
      <c r="Z4192" s="3"/>
      <c r="AA4192" s="3"/>
      <c r="AB4192" s="3"/>
    </row>
    <row r="4193" spans="1:28" x14ac:dyDescent="0.3">
      <c r="A4193" s="2"/>
      <c r="F4193" s="3"/>
      <c r="G4193" s="3"/>
      <c r="N4193" s="3"/>
      <c r="Q4193" s="3"/>
      <c r="R4193" s="3"/>
      <c r="S4193" s="3"/>
      <c r="V4193" s="3"/>
      <c r="W4193" s="3"/>
      <c r="X4193" s="3"/>
      <c r="Y4193" s="3"/>
      <c r="Z4193" s="3"/>
      <c r="AA4193" s="3"/>
      <c r="AB4193" s="3"/>
    </row>
    <row r="4194" spans="1:28" x14ac:dyDescent="0.3">
      <c r="A4194" s="2"/>
      <c r="F4194" s="3"/>
      <c r="G4194" s="3"/>
      <c r="N4194" s="3"/>
      <c r="Q4194" s="3"/>
      <c r="R4194" s="3"/>
      <c r="S4194" s="3"/>
      <c r="V4194" s="3"/>
      <c r="W4194" s="3"/>
      <c r="X4194" s="3"/>
      <c r="Y4194" s="3"/>
      <c r="Z4194" s="3"/>
      <c r="AA4194" s="3"/>
      <c r="AB4194" s="3"/>
    </row>
    <row r="4195" spans="1:28" x14ac:dyDescent="0.3">
      <c r="A4195" s="2"/>
      <c r="F4195" s="3"/>
      <c r="G4195" s="3"/>
      <c r="N4195" s="3"/>
      <c r="Q4195" s="3"/>
      <c r="R4195" s="3"/>
      <c r="S4195" s="3"/>
      <c r="V4195" s="3"/>
      <c r="W4195" s="3"/>
      <c r="X4195" s="3"/>
      <c r="Y4195" s="3"/>
      <c r="Z4195" s="3"/>
      <c r="AA4195" s="3"/>
      <c r="AB4195" s="3"/>
    </row>
    <row r="4196" spans="1:28" x14ac:dyDescent="0.3">
      <c r="A4196" s="2"/>
      <c r="F4196" s="3"/>
      <c r="G4196" s="3"/>
      <c r="N4196" s="3"/>
      <c r="Q4196" s="3"/>
      <c r="R4196" s="3"/>
      <c r="S4196" s="3"/>
      <c r="V4196" s="3"/>
      <c r="W4196" s="3"/>
      <c r="X4196" s="3"/>
      <c r="Y4196" s="3"/>
      <c r="Z4196" s="3"/>
      <c r="AA4196" s="3"/>
      <c r="AB4196" s="3"/>
    </row>
    <row r="4197" spans="1:28" x14ac:dyDescent="0.3">
      <c r="A4197" s="2"/>
      <c r="F4197" s="3"/>
      <c r="G4197" s="3"/>
      <c r="N4197" s="3"/>
      <c r="Q4197" s="3"/>
      <c r="R4197" s="3"/>
      <c r="S4197" s="3"/>
      <c r="V4197" s="3"/>
      <c r="W4197" s="3"/>
      <c r="X4197" s="3"/>
      <c r="Y4197" s="3"/>
      <c r="Z4197" s="3"/>
      <c r="AA4197" s="3"/>
      <c r="AB4197" s="3"/>
    </row>
    <row r="4198" spans="1:28" x14ac:dyDescent="0.3">
      <c r="A4198" s="2"/>
      <c r="F4198" s="3"/>
      <c r="G4198" s="3"/>
      <c r="N4198" s="3"/>
      <c r="Q4198" s="3"/>
      <c r="R4198" s="3"/>
      <c r="S4198" s="3"/>
      <c r="V4198" s="3"/>
      <c r="W4198" s="3"/>
      <c r="X4198" s="3"/>
      <c r="Y4198" s="3"/>
      <c r="Z4198" s="3"/>
      <c r="AA4198" s="3"/>
      <c r="AB4198" s="3"/>
    </row>
    <row r="4199" spans="1:28" x14ac:dyDescent="0.3">
      <c r="A4199" s="2"/>
      <c r="F4199" s="3"/>
      <c r="G4199" s="3"/>
      <c r="N4199" s="3"/>
      <c r="Q4199" s="3"/>
      <c r="R4199" s="3"/>
      <c r="S4199" s="3"/>
      <c r="V4199" s="3"/>
      <c r="W4199" s="3"/>
      <c r="X4199" s="3"/>
      <c r="Y4199" s="3"/>
      <c r="Z4199" s="3"/>
      <c r="AA4199" s="3"/>
      <c r="AB4199" s="3"/>
    </row>
    <row r="4200" spans="1:28" x14ac:dyDescent="0.3">
      <c r="A4200" s="2"/>
      <c r="F4200" s="3"/>
      <c r="G4200" s="3"/>
      <c r="N4200" s="3"/>
      <c r="Q4200" s="3"/>
      <c r="R4200" s="3"/>
      <c r="S4200" s="3"/>
      <c r="V4200" s="3"/>
      <c r="W4200" s="3"/>
      <c r="X4200" s="3"/>
      <c r="Y4200" s="3"/>
      <c r="Z4200" s="3"/>
      <c r="AA4200" s="3"/>
      <c r="AB4200" s="3"/>
    </row>
    <row r="4201" spans="1:28" x14ac:dyDescent="0.3">
      <c r="A4201" s="2"/>
      <c r="F4201" s="3"/>
      <c r="G4201" s="3"/>
      <c r="N4201" s="3"/>
      <c r="Q4201" s="3"/>
      <c r="R4201" s="3"/>
      <c r="S4201" s="3"/>
      <c r="V4201" s="3"/>
      <c r="W4201" s="3"/>
      <c r="X4201" s="3"/>
      <c r="Y4201" s="3"/>
      <c r="Z4201" s="3"/>
      <c r="AA4201" s="3"/>
      <c r="AB4201" s="3"/>
    </row>
    <row r="4202" spans="1:28" x14ac:dyDescent="0.3">
      <c r="A4202" s="2"/>
      <c r="F4202" s="3"/>
      <c r="G4202" s="3"/>
      <c r="N4202" s="3"/>
      <c r="Q4202" s="3"/>
      <c r="R4202" s="3"/>
      <c r="S4202" s="3"/>
      <c r="V4202" s="3"/>
      <c r="W4202" s="3"/>
      <c r="X4202" s="3"/>
      <c r="Y4202" s="3"/>
      <c r="Z4202" s="3"/>
      <c r="AA4202" s="3"/>
      <c r="AB4202" s="3"/>
    </row>
    <row r="4203" spans="1:28" x14ac:dyDescent="0.3">
      <c r="A4203" s="2"/>
      <c r="F4203" s="3"/>
      <c r="G4203" s="3"/>
      <c r="N4203" s="3"/>
      <c r="Q4203" s="3"/>
      <c r="R4203" s="3"/>
      <c r="S4203" s="3"/>
      <c r="V4203" s="3"/>
      <c r="W4203" s="3"/>
      <c r="X4203" s="3"/>
      <c r="Y4203" s="3"/>
      <c r="Z4203" s="3"/>
      <c r="AA4203" s="3"/>
      <c r="AB4203" s="3"/>
    </row>
    <row r="4204" spans="1:28" x14ac:dyDescent="0.3">
      <c r="A4204" s="2"/>
      <c r="F4204" s="3"/>
      <c r="G4204" s="3"/>
      <c r="N4204" s="3"/>
      <c r="Q4204" s="3"/>
      <c r="R4204" s="3"/>
      <c r="S4204" s="3"/>
      <c r="V4204" s="3"/>
      <c r="W4204" s="3"/>
      <c r="X4204" s="3"/>
      <c r="Y4204" s="3"/>
      <c r="Z4204" s="3"/>
      <c r="AA4204" s="3"/>
      <c r="AB4204" s="3"/>
    </row>
    <row r="4205" spans="1:28" x14ac:dyDescent="0.3">
      <c r="A4205" s="2"/>
      <c r="F4205" s="3"/>
      <c r="G4205" s="3"/>
      <c r="N4205" s="3"/>
      <c r="Q4205" s="3"/>
      <c r="R4205" s="3"/>
      <c r="S4205" s="3"/>
      <c r="V4205" s="3"/>
      <c r="W4205" s="3"/>
      <c r="X4205" s="3"/>
      <c r="Y4205" s="3"/>
      <c r="Z4205" s="3"/>
      <c r="AA4205" s="3"/>
      <c r="AB4205" s="3"/>
    </row>
    <row r="4206" spans="1:28" x14ac:dyDescent="0.3">
      <c r="A4206" s="2"/>
      <c r="F4206" s="3"/>
      <c r="G4206" s="3"/>
      <c r="N4206" s="3"/>
      <c r="Q4206" s="3"/>
      <c r="R4206" s="3"/>
      <c r="S4206" s="3"/>
      <c r="V4206" s="3"/>
      <c r="W4206" s="3"/>
      <c r="X4206" s="3"/>
      <c r="Y4206" s="3"/>
      <c r="Z4206" s="3"/>
      <c r="AA4206" s="3"/>
      <c r="AB4206" s="3"/>
    </row>
    <row r="4207" spans="1:28" x14ac:dyDescent="0.3">
      <c r="A4207" s="2"/>
      <c r="F4207" s="3"/>
      <c r="G4207" s="3"/>
      <c r="N4207" s="3"/>
      <c r="Q4207" s="3"/>
      <c r="R4207" s="3"/>
      <c r="S4207" s="3"/>
      <c r="V4207" s="3"/>
      <c r="W4207" s="3"/>
      <c r="X4207" s="3"/>
      <c r="Y4207" s="3"/>
      <c r="Z4207" s="3"/>
      <c r="AA4207" s="3"/>
      <c r="AB4207" s="3"/>
    </row>
    <row r="4208" spans="1:28" x14ac:dyDescent="0.3">
      <c r="A4208" s="2"/>
      <c r="F4208" s="3"/>
      <c r="G4208" s="3"/>
      <c r="N4208" s="3"/>
      <c r="Q4208" s="3"/>
      <c r="R4208" s="3"/>
      <c r="S4208" s="3"/>
      <c r="V4208" s="3"/>
      <c r="W4208" s="3"/>
      <c r="X4208" s="3"/>
      <c r="Y4208" s="3"/>
      <c r="Z4208" s="3"/>
      <c r="AA4208" s="3"/>
      <c r="AB4208" s="3"/>
    </row>
    <row r="4209" spans="1:28" x14ac:dyDescent="0.3">
      <c r="A4209" s="2"/>
      <c r="F4209" s="3"/>
      <c r="G4209" s="3"/>
      <c r="N4209" s="3"/>
      <c r="Q4209" s="3"/>
      <c r="R4209" s="3"/>
      <c r="S4209" s="3"/>
      <c r="V4209" s="3"/>
      <c r="W4209" s="3"/>
      <c r="X4209" s="3"/>
      <c r="Y4209" s="3"/>
      <c r="Z4209" s="3"/>
      <c r="AA4209" s="3"/>
      <c r="AB4209" s="3"/>
    </row>
    <row r="4210" spans="1:28" x14ac:dyDescent="0.3">
      <c r="A4210" s="2"/>
      <c r="F4210" s="3"/>
      <c r="G4210" s="3"/>
      <c r="N4210" s="3"/>
      <c r="Q4210" s="3"/>
      <c r="R4210" s="3"/>
      <c r="S4210" s="3"/>
      <c r="V4210" s="3"/>
      <c r="W4210" s="3"/>
      <c r="X4210" s="3"/>
      <c r="Y4210" s="3"/>
      <c r="Z4210" s="3"/>
      <c r="AA4210" s="3"/>
      <c r="AB4210" s="3"/>
    </row>
    <row r="4211" spans="1:28" x14ac:dyDescent="0.3">
      <c r="A4211" s="2"/>
      <c r="F4211" s="3"/>
      <c r="G4211" s="3"/>
      <c r="N4211" s="3"/>
      <c r="Q4211" s="3"/>
      <c r="R4211" s="3"/>
      <c r="S4211" s="3"/>
      <c r="V4211" s="3"/>
      <c r="W4211" s="3"/>
      <c r="X4211" s="3"/>
      <c r="Y4211" s="3"/>
      <c r="Z4211" s="3"/>
      <c r="AA4211" s="3"/>
      <c r="AB4211" s="3"/>
    </row>
    <row r="4212" spans="1:28" x14ac:dyDescent="0.3">
      <c r="A4212" s="2"/>
      <c r="F4212" s="3"/>
      <c r="G4212" s="3"/>
      <c r="N4212" s="3"/>
      <c r="Q4212" s="3"/>
      <c r="R4212" s="3"/>
      <c r="S4212" s="3"/>
      <c r="V4212" s="3"/>
      <c r="W4212" s="3"/>
      <c r="X4212" s="3"/>
      <c r="Y4212" s="3"/>
      <c r="Z4212" s="3"/>
      <c r="AA4212" s="3"/>
      <c r="AB4212" s="3"/>
    </row>
    <row r="4213" spans="1:28" x14ac:dyDescent="0.3">
      <c r="A4213" s="2"/>
      <c r="F4213" s="3"/>
      <c r="G4213" s="3"/>
      <c r="N4213" s="3"/>
      <c r="Q4213" s="3"/>
      <c r="R4213" s="3"/>
      <c r="S4213" s="3"/>
      <c r="V4213" s="3"/>
      <c r="W4213" s="3"/>
      <c r="X4213" s="3"/>
      <c r="Y4213" s="3"/>
      <c r="Z4213" s="3"/>
      <c r="AA4213" s="3"/>
      <c r="AB4213" s="3"/>
    </row>
    <row r="4214" spans="1:28" x14ac:dyDescent="0.3">
      <c r="A4214" s="2"/>
      <c r="F4214" s="3"/>
      <c r="G4214" s="3"/>
      <c r="N4214" s="3"/>
      <c r="Q4214" s="3"/>
      <c r="R4214" s="3"/>
      <c r="S4214" s="3"/>
      <c r="V4214" s="3"/>
      <c r="W4214" s="3"/>
      <c r="X4214" s="3"/>
      <c r="Y4214" s="3"/>
      <c r="Z4214" s="3"/>
      <c r="AA4214" s="3"/>
      <c r="AB4214" s="3"/>
    </row>
    <row r="4215" spans="1:28" x14ac:dyDescent="0.3">
      <c r="A4215" s="2"/>
      <c r="F4215" s="3"/>
      <c r="G4215" s="3"/>
      <c r="N4215" s="3"/>
      <c r="Q4215" s="3"/>
      <c r="R4215" s="3"/>
      <c r="S4215" s="3"/>
      <c r="V4215" s="3"/>
      <c r="W4215" s="3"/>
      <c r="X4215" s="3"/>
      <c r="Y4215" s="3"/>
      <c r="Z4215" s="3"/>
      <c r="AA4215" s="3"/>
      <c r="AB4215" s="3"/>
    </row>
    <row r="4216" spans="1:28" x14ac:dyDescent="0.3">
      <c r="A4216" s="2"/>
      <c r="F4216" s="3"/>
      <c r="G4216" s="3"/>
      <c r="N4216" s="3"/>
      <c r="Q4216" s="3"/>
      <c r="R4216" s="3"/>
      <c r="S4216" s="3"/>
      <c r="V4216" s="3"/>
      <c r="W4216" s="3"/>
      <c r="X4216" s="3"/>
      <c r="Y4216" s="3"/>
      <c r="Z4216" s="3"/>
      <c r="AA4216" s="3"/>
      <c r="AB4216" s="3"/>
    </row>
    <row r="4217" spans="1:28" x14ac:dyDescent="0.3">
      <c r="A4217" s="2"/>
      <c r="F4217" s="3"/>
      <c r="G4217" s="3"/>
      <c r="N4217" s="3"/>
      <c r="Q4217" s="3"/>
      <c r="R4217" s="3"/>
      <c r="S4217" s="3"/>
      <c r="V4217" s="3"/>
      <c r="W4217" s="3"/>
      <c r="X4217" s="3"/>
      <c r="Y4217" s="3"/>
      <c r="Z4217" s="3"/>
      <c r="AA4217" s="3"/>
      <c r="AB4217" s="3"/>
    </row>
    <row r="4218" spans="1:28" x14ac:dyDescent="0.3">
      <c r="A4218" s="2"/>
      <c r="F4218" s="3"/>
      <c r="G4218" s="3"/>
      <c r="N4218" s="3"/>
      <c r="Q4218" s="3"/>
      <c r="R4218" s="3"/>
      <c r="S4218" s="3"/>
      <c r="V4218" s="3"/>
      <c r="W4218" s="3"/>
      <c r="X4218" s="3"/>
      <c r="Y4218" s="3"/>
      <c r="Z4218" s="3"/>
      <c r="AA4218" s="3"/>
      <c r="AB4218" s="3"/>
    </row>
    <row r="4219" spans="1:28" x14ac:dyDescent="0.3">
      <c r="A4219" s="2"/>
      <c r="F4219" s="3"/>
      <c r="G4219" s="3"/>
      <c r="N4219" s="3"/>
      <c r="Q4219" s="3"/>
      <c r="R4219" s="3"/>
      <c r="S4219" s="3"/>
      <c r="V4219" s="3"/>
      <c r="W4219" s="3"/>
      <c r="X4219" s="3"/>
      <c r="Y4219" s="3"/>
      <c r="Z4219" s="3"/>
      <c r="AA4219" s="3"/>
      <c r="AB4219" s="3"/>
    </row>
    <row r="4220" spans="1:28" x14ac:dyDescent="0.3">
      <c r="A4220" s="2"/>
      <c r="F4220" s="3"/>
      <c r="G4220" s="3"/>
      <c r="N4220" s="3"/>
      <c r="Q4220" s="3"/>
      <c r="R4220" s="3"/>
      <c r="S4220" s="3"/>
      <c r="V4220" s="3"/>
      <c r="W4220" s="3"/>
      <c r="X4220" s="3"/>
      <c r="Y4220" s="3"/>
      <c r="Z4220" s="3"/>
      <c r="AA4220" s="3"/>
      <c r="AB4220" s="3"/>
    </row>
    <row r="4221" spans="1:28" x14ac:dyDescent="0.3">
      <c r="A4221" s="2"/>
      <c r="F4221" s="3"/>
      <c r="G4221" s="3"/>
      <c r="N4221" s="3"/>
      <c r="Q4221" s="3"/>
      <c r="R4221" s="3"/>
      <c r="S4221" s="3"/>
      <c r="V4221" s="3"/>
      <c r="W4221" s="3"/>
      <c r="X4221" s="3"/>
      <c r="Y4221" s="3"/>
      <c r="Z4221" s="3"/>
      <c r="AA4221" s="3"/>
      <c r="AB4221" s="3"/>
    </row>
    <row r="4222" spans="1:28" x14ac:dyDescent="0.3">
      <c r="A4222" s="2"/>
      <c r="F4222" s="3"/>
      <c r="G4222" s="3"/>
      <c r="N4222" s="3"/>
      <c r="Q4222" s="3"/>
      <c r="R4222" s="3"/>
      <c r="S4222" s="3"/>
      <c r="V4222" s="3"/>
      <c r="W4222" s="3"/>
      <c r="X4222" s="3"/>
      <c r="Y4222" s="3"/>
      <c r="Z4222" s="3"/>
      <c r="AA4222" s="3"/>
      <c r="AB4222" s="3"/>
    </row>
    <row r="4223" spans="1:28" x14ac:dyDescent="0.3">
      <c r="A4223" s="2"/>
      <c r="F4223" s="3"/>
      <c r="G4223" s="3"/>
      <c r="N4223" s="3"/>
      <c r="Q4223" s="3"/>
      <c r="R4223" s="3"/>
      <c r="S4223" s="3"/>
      <c r="V4223" s="3"/>
      <c r="W4223" s="3"/>
      <c r="X4223" s="3"/>
      <c r="Y4223" s="3"/>
      <c r="Z4223" s="3"/>
      <c r="AA4223" s="3"/>
      <c r="AB4223" s="3"/>
    </row>
    <row r="4224" spans="1:28" x14ac:dyDescent="0.3">
      <c r="A4224" s="2"/>
      <c r="F4224" s="3"/>
      <c r="G4224" s="3"/>
      <c r="N4224" s="3"/>
      <c r="Q4224" s="3"/>
      <c r="R4224" s="3"/>
      <c r="S4224" s="3"/>
      <c r="V4224" s="3"/>
      <c r="W4224" s="3"/>
      <c r="X4224" s="3"/>
      <c r="Y4224" s="3"/>
      <c r="Z4224" s="3"/>
      <c r="AA4224" s="3"/>
      <c r="AB4224" s="3"/>
    </row>
    <row r="4225" spans="1:28" x14ac:dyDescent="0.3">
      <c r="A4225" s="2"/>
      <c r="F4225" s="3"/>
      <c r="G4225" s="3"/>
      <c r="N4225" s="3"/>
      <c r="Q4225" s="3"/>
      <c r="R4225" s="3"/>
      <c r="S4225" s="3"/>
      <c r="V4225" s="3"/>
      <c r="W4225" s="3"/>
      <c r="X4225" s="3"/>
      <c r="Y4225" s="3"/>
      <c r="Z4225" s="3"/>
      <c r="AA4225" s="3"/>
      <c r="AB4225" s="3"/>
    </row>
    <row r="4226" spans="1:28" x14ac:dyDescent="0.3">
      <c r="A4226" s="2"/>
      <c r="F4226" s="3"/>
      <c r="G4226" s="3"/>
      <c r="N4226" s="3"/>
      <c r="Q4226" s="3"/>
      <c r="R4226" s="3"/>
      <c r="S4226" s="3"/>
      <c r="V4226" s="3"/>
      <c r="W4226" s="3"/>
      <c r="X4226" s="3"/>
      <c r="Y4226" s="3"/>
      <c r="Z4226" s="3"/>
      <c r="AA4226" s="3"/>
      <c r="AB4226" s="3"/>
    </row>
    <row r="4227" spans="1:28" x14ac:dyDescent="0.3">
      <c r="A4227" s="2"/>
      <c r="F4227" s="3"/>
      <c r="G4227" s="3"/>
      <c r="N4227" s="3"/>
      <c r="Q4227" s="3"/>
      <c r="R4227" s="3"/>
      <c r="S4227" s="3"/>
      <c r="V4227" s="3"/>
      <c r="W4227" s="3"/>
      <c r="X4227" s="3"/>
      <c r="Y4227" s="3"/>
      <c r="Z4227" s="3"/>
      <c r="AA4227" s="3"/>
      <c r="AB4227" s="3"/>
    </row>
    <row r="4228" spans="1:28" x14ac:dyDescent="0.3">
      <c r="A4228" s="2"/>
      <c r="F4228" s="3"/>
      <c r="G4228" s="3"/>
      <c r="N4228" s="3"/>
      <c r="Q4228" s="3"/>
      <c r="R4228" s="3"/>
      <c r="S4228" s="3"/>
      <c r="V4228" s="3"/>
      <c r="W4228" s="3"/>
      <c r="X4228" s="3"/>
      <c r="Y4228" s="3"/>
      <c r="Z4228" s="3"/>
      <c r="AA4228" s="3"/>
      <c r="AB4228" s="3"/>
    </row>
    <row r="4229" spans="1:28" x14ac:dyDescent="0.3">
      <c r="A4229" s="2"/>
      <c r="F4229" s="3"/>
      <c r="G4229" s="3"/>
      <c r="N4229" s="3"/>
      <c r="Q4229" s="3"/>
      <c r="R4229" s="3"/>
      <c r="S4229" s="3"/>
      <c r="V4229" s="3"/>
      <c r="W4229" s="3"/>
      <c r="X4229" s="3"/>
      <c r="Y4229" s="3"/>
      <c r="Z4229" s="3"/>
      <c r="AA4229" s="3"/>
      <c r="AB4229" s="3"/>
    </row>
    <row r="4230" spans="1:28" x14ac:dyDescent="0.3">
      <c r="A4230" s="2"/>
      <c r="F4230" s="3"/>
      <c r="G4230" s="3"/>
      <c r="N4230" s="3"/>
      <c r="Q4230" s="3"/>
      <c r="R4230" s="3"/>
      <c r="S4230" s="3"/>
      <c r="V4230" s="3"/>
      <c r="W4230" s="3"/>
      <c r="X4230" s="3"/>
      <c r="Y4230" s="3"/>
      <c r="Z4230" s="3"/>
      <c r="AA4230" s="3"/>
      <c r="AB4230" s="3"/>
    </row>
    <row r="4231" spans="1:28" x14ac:dyDescent="0.3">
      <c r="A4231" s="2"/>
      <c r="F4231" s="3"/>
      <c r="G4231" s="3"/>
      <c r="N4231" s="3"/>
      <c r="Q4231" s="3"/>
      <c r="R4231" s="3"/>
      <c r="S4231" s="3"/>
      <c r="V4231" s="3"/>
      <c r="W4231" s="3"/>
      <c r="X4231" s="3"/>
      <c r="Y4231" s="3"/>
      <c r="Z4231" s="3"/>
      <c r="AA4231" s="3"/>
      <c r="AB4231" s="3"/>
    </row>
    <row r="4232" spans="1:28" x14ac:dyDescent="0.3">
      <c r="A4232" s="2"/>
      <c r="F4232" s="3"/>
      <c r="G4232" s="3"/>
      <c r="N4232" s="3"/>
      <c r="Q4232" s="3"/>
      <c r="R4232" s="3"/>
      <c r="S4232" s="3"/>
      <c r="V4232" s="3"/>
      <c r="W4232" s="3"/>
      <c r="X4232" s="3"/>
      <c r="Y4232" s="3"/>
      <c r="Z4232" s="3"/>
      <c r="AA4232" s="3"/>
      <c r="AB4232" s="3"/>
    </row>
    <row r="4233" spans="1:28" x14ac:dyDescent="0.3">
      <c r="A4233" s="2"/>
      <c r="F4233" s="3"/>
      <c r="G4233" s="3"/>
      <c r="N4233" s="3"/>
      <c r="Q4233" s="3"/>
      <c r="R4233" s="3"/>
      <c r="S4233" s="3"/>
      <c r="V4233" s="3"/>
      <c r="W4233" s="3"/>
      <c r="X4233" s="3"/>
      <c r="Y4233" s="3"/>
      <c r="Z4233" s="3"/>
      <c r="AA4233" s="3"/>
      <c r="AB4233" s="3"/>
    </row>
    <row r="4234" spans="1:28" x14ac:dyDescent="0.3">
      <c r="A4234" s="2"/>
      <c r="F4234" s="3"/>
      <c r="G4234" s="3"/>
      <c r="N4234" s="3"/>
      <c r="Q4234" s="3"/>
      <c r="R4234" s="3"/>
      <c r="S4234" s="3"/>
      <c r="V4234" s="3"/>
      <c r="W4234" s="3"/>
      <c r="X4234" s="3"/>
      <c r="Y4234" s="3"/>
      <c r="Z4234" s="3"/>
      <c r="AA4234" s="3"/>
      <c r="AB4234" s="3"/>
    </row>
    <row r="4235" spans="1:28" x14ac:dyDescent="0.3">
      <c r="A4235" s="2"/>
      <c r="F4235" s="3"/>
      <c r="G4235" s="3"/>
      <c r="N4235" s="3"/>
      <c r="Q4235" s="3"/>
      <c r="R4235" s="3"/>
      <c r="S4235" s="3"/>
      <c r="V4235" s="3"/>
      <c r="W4235" s="3"/>
      <c r="X4235" s="3"/>
      <c r="Y4235" s="3"/>
      <c r="Z4235" s="3"/>
      <c r="AA4235" s="3"/>
      <c r="AB4235" s="3"/>
    </row>
    <row r="4236" spans="1:28" x14ac:dyDescent="0.3">
      <c r="A4236" s="2"/>
      <c r="F4236" s="3"/>
      <c r="G4236" s="3"/>
      <c r="N4236" s="3"/>
      <c r="Q4236" s="3"/>
      <c r="R4236" s="3"/>
      <c r="S4236" s="3"/>
      <c r="V4236" s="3"/>
      <c r="W4236" s="3"/>
      <c r="X4236" s="3"/>
      <c r="Y4236" s="3"/>
      <c r="Z4236" s="3"/>
      <c r="AA4236" s="3"/>
      <c r="AB4236" s="3"/>
    </row>
    <row r="4237" spans="1:28" x14ac:dyDescent="0.3">
      <c r="A4237" s="2"/>
      <c r="F4237" s="3"/>
      <c r="G4237" s="3"/>
      <c r="N4237" s="3"/>
      <c r="Q4237" s="3"/>
      <c r="R4237" s="3"/>
      <c r="S4237" s="3"/>
      <c r="V4237" s="3"/>
      <c r="W4237" s="3"/>
      <c r="X4237" s="3"/>
      <c r="Y4237" s="3"/>
      <c r="Z4237" s="3"/>
      <c r="AA4237" s="3"/>
      <c r="AB4237" s="3"/>
    </row>
    <row r="4238" spans="1:28" x14ac:dyDescent="0.3">
      <c r="A4238" s="2"/>
      <c r="F4238" s="3"/>
      <c r="G4238" s="3"/>
      <c r="N4238" s="3"/>
      <c r="Q4238" s="3"/>
      <c r="R4238" s="3"/>
      <c r="S4238" s="3"/>
      <c r="V4238" s="3"/>
      <c r="W4238" s="3"/>
      <c r="X4238" s="3"/>
      <c r="Y4238" s="3"/>
      <c r="Z4238" s="3"/>
      <c r="AA4238" s="3"/>
      <c r="AB4238" s="3"/>
    </row>
    <row r="4239" spans="1:28" x14ac:dyDescent="0.3">
      <c r="A4239" s="2"/>
      <c r="F4239" s="3"/>
      <c r="G4239" s="3"/>
      <c r="N4239" s="3"/>
      <c r="Q4239" s="3"/>
      <c r="R4239" s="3"/>
      <c r="S4239" s="3"/>
      <c r="V4239" s="3"/>
      <c r="W4239" s="3"/>
      <c r="X4239" s="3"/>
      <c r="Y4239" s="3"/>
      <c r="Z4239" s="3"/>
      <c r="AA4239" s="3"/>
      <c r="AB4239" s="3"/>
    </row>
    <row r="4240" spans="1:28" x14ac:dyDescent="0.3">
      <c r="A4240" s="2"/>
      <c r="F4240" s="3"/>
      <c r="G4240" s="3"/>
      <c r="N4240" s="3"/>
      <c r="Q4240" s="3"/>
      <c r="R4240" s="3"/>
      <c r="S4240" s="3"/>
      <c r="V4240" s="3"/>
      <c r="W4240" s="3"/>
      <c r="X4240" s="3"/>
      <c r="Y4240" s="3"/>
      <c r="Z4240" s="3"/>
      <c r="AA4240" s="3"/>
      <c r="AB4240" s="3"/>
    </row>
    <row r="4241" spans="1:28" x14ac:dyDescent="0.3">
      <c r="A4241" s="2"/>
      <c r="F4241" s="3"/>
      <c r="G4241" s="3"/>
      <c r="N4241" s="3"/>
      <c r="Q4241" s="3"/>
      <c r="R4241" s="3"/>
      <c r="S4241" s="3"/>
      <c r="V4241" s="3"/>
      <c r="W4241" s="3"/>
      <c r="X4241" s="3"/>
      <c r="Y4241" s="3"/>
      <c r="Z4241" s="3"/>
      <c r="AA4241" s="3"/>
      <c r="AB4241" s="3"/>
    </row>
    <row r="4242" spans="1:28" x14ac:dyDescent="0.3">
      <c r="A4242" s="2"/>
      <c r="F4242" s="3"/>
      <c r="G4242" s="3"/>
      <c r="N4242" s="3"/>
      <c r="Q4242" s="3"/>
      <c r="R4242" s="3"/>
      <c r="S4242" s="3"/>
      <c r="V4242" s="3"/>
      <c r="W4242" s="3"/>
      <c r="X4242" s="3"/>
      <c r="Y4242" s="3"/>
      <c r="Z4242" s="3"/>
      <c r="AA4242" s="3"/>
      <c r="AB4242" s="3"/>
    </row>
    <row r="4243" spans="1:28" x14ac:dyDescent="0.3">
      <c r="A4243" s="2"/>
      <c r="F4243" s="3"/>
      <c r="G4243" s="3"/>
      <c r="N4243" s="3"/>
      <c r="Q4243" s="3"/>
      <c r="R4243" s="3"/>
      <c r="S4243" s="3"/>
      <c r="V4243" s="3"/>
      <c r="W4243" s="3"/>
      <c r="X4243" s="3"/>
      <c r="Y4243" s="3"/>
      <c r="Z4243" s="3"/>
      <c r="AA4243" s="3"/>
      <c r="AB4243" s="3"/>
    </row>
    <row r="4244" spans="1:28" x14ac:dyDescent="0.3">
      <c r="A4244" s="2"/>
      <c r="F4244" s="3"/>
      <c r="G4244" s="3"/>
      <c r="N4244" s="3"/>
      <c r="Q4244" s="3"/>
      <c r="R4244" s="3"/>
      <c r="S4244" s="3"/>
      <c r="V4244" s="3"/>
      <c r="W4244" s="3"/>
      <c r="X4244" s="3"/>
      <c r="Y4244" s="3"/>
      <c r="Z4244" s="3"/>
      <c r="AA4244" s="3"/>
      <c r="AB4244" s="3"/>
    </row>
    <row r="4245" spans="1:28" x14ac:dyDescent="0.3">
      <c r="A4245" s="2"/>
      <c r="F4245" s="3"/>
      <c r="G4245" s="3"/>
      <c r="N4245" s="3"/>
      <c r="Q4245" s="3"/>
      <c r="R4245" s="3"/>
      <c r="S4245" s="3"/>
      <c r="V4245" s="3"/>
      <c r="W4245" s="3"/>
      <c r="X4245" s="3"/>
      <c r="Y4245" s="3"/>
      <c r="Z4245" s="3"/>
      <c r="AA4245" s="3"/>
      <c r="AB4245" s="3"/>
    </row>
    <row r="4246" spans="1:28" x14ac:dyDescent="0.3">
      <c r="A4246" s="2"/>
      <c r="F4246" s="3"/>
      <c r="G4246" s="3"/>
      <c r="N4246" s="3"/>
      <c r="Q4246" s="3"/>
      <c r="R4246" s="3"/>
      <c r="S4246" s="3"/>
      <c r="V4246" s="3"/>
      <c r="W4246" s="3"/>
      <c r="X4246" s="3"/>
      <c r="Y4246" s="3"/>
      <c r="Z4246" s="3"/>
      <c r="AA4246" s="3"/>
      <c r="AB4246" s="3"/>
    </row>
    <row r="4247" spans="1:28" x14ac:dyDescent="0.3">
      <c r="A4247" s="2"/>
      <c r="F4247" s="3"/>
      <c r="G4247" s="3"/>
      <c r="N4247" s="3"/>
      <c r="Q4247" s="3"/>
      <c r="R4247" s="3"/>
      <c r="S4247" s="3"/>
      <c r="V4247" s="3"/>
      <c r="W4247" s="3"/>
      <c r="X4247" s="3"/>
      <c r="Y4247" s="3"/>
      <c r="Z4247" s="3"/>
      <c r="AA4247" s="3"/>
      <c r="AB4247" s="3"/>
    </row>
    <row r="4248" spans="1:28" x14ac:dyDescent="0.3">
      <c r="A4248" s="2"/>
      <c r="F4248" s="3"/>
      <c r="G4248" s="3"/>
      <c r="N4248" s="3"/>
      <c r="Q4248" s="3"/>
      <c r="R4248" s="3"/>
      <c r="S4248" s="3"/>
      <c r="V4248" s="3"/>
      <c r="W4248" s="3"/>
      <c r="X4248" s="3"/>
      <c r="Y4248" s="3"/>
      <c r="Z4248" s="3"/>
      <c r="AA4248" s="3"/>
      <c r="AB4248" s="3"/>
    </row>
    <row r="4249" spans="1:28" x14ac:dyDescent="0.3">
      <c r="A4249" s="2"/>
      <c r="F4249" s="3"/>
      <c r="G4249" s="3"/>
      <c r="N4249" s="3"/>
      <c r="Q4249" s="3"/>
      <c r="R4249" s="3"/>
      <c r="S4249" s="3"/>
      <c r="V4249" s="3"/>
      <c r="W4249" s="3"/>
      <c r="X4249" s="3"/>
      <c r="Y4249" s="3"/>
      <c r="Z4249" s="3"/>
      <c r="AA4249" s="3"/>
      <c r="AB4249" s="3"/>
    </row>
    <row r="4250" spans="1:28" x14ac:dyDescent="0.3">
      <c r="A4250" s="2"/>
      <c r="F4250" s="3"/>
      <c r="G4250" s="3"/>
      <c r="N4250" s="3"/>
      <c r="Q4250" s="3"/>
      <c r="R4250" s="3"/>
      <c r="S4250" s="3"/>
      <c r="V4250" s="3"/>
      <c r="W4250" s="3"/>
      <c r="X4250" s="3"/>
      <c r="Y4250" s="3"/>
      <c r="Z4250" s="3"/>
      <c r="AA4250" s="3"/>
      <c r="AB4250" s="3"/>
    </row>
    <row r="4251" spans="1:28" x14ac:dyDescent="0.3">
      <c r="A4251" s="2"/>
      <c r="F4251" s="3"/>
      <c r="G4251" s="3"/>
      <c r="N4251" s="3"/>
      <c r="Q4251" s="3"/>
      <c r="R4251" s="3"/>
      <c r="S4251" s="3"/>
      <c r="V4251" s="3"/>
      <c r="W4251" s="3"/>
      <c r="X4251" s="3"/>
      <c r="Y4251" s="3"/>
      <c r="Z4251" s="3"/>
      <c r="AA4251" s="3"/>
      <c r="AB4251" s="3"/>
    </row>
    <row r="4252" spans="1:28" x14ac:dyDescent="0.3">
      <c r="A4252" s="2"/>
      <c r="F4252" s="3"/>
      <c r="G4252" s="3"/>
      <c r="N4252" s="3"/>
      <c r="Q4252" s="3"/>
      <c r="R4252" s="3"/>
      <c r="S4252" s="3"/>
      <c r="V4252" s="3"/>
      <c r="W4252" s="3"/>
      <c r="X4252" s="3"/>
      <c r="Y4252" s="3"/>
      <c r="Z4252" s="3"/>
      <c r="AA4252" s="3"/>
      <c r="AB4252" s="3"/>
    </row>
    <row r="4253" spans="1:28" x14ac:dyDescent="0.3">
      <c r="A4253" s="2"/>
      <c r="F4253" s="3"/>
      <c r="G4253" s="3"/>
      <c r="N4253" s="3"/>
      <c r="Q4253" s="3"/>
      <c r="R4253" s="3"/>
      <c r="S4253" s="3"/>
      <c r="V4253" s="3"/>
      <c r="W4253" s="3"/>
      <c r="X4253" s="3"/>
      <c r="Y4253" s="3"/>
      <c r="Z4253" s="3"/>
      <c r="AA4253" s="3"/>
      <c r="AB4253" s="3"/>
    </row>
    <row r="4254" spans="1:28" x14ac:dyDescent="0.3">
      <c r="A4254" s="2"/>
      <c r="F4254" s="3"/>
      <c r="G4254" s="3"/>
      <c r="N4254" s="3"/>
      <c r="Q4254" s="3"/>
      <c r="R4254" s="3"/>
      <c r="S4254" s="3"/>
      <c r="V4254" s="3"/>
      <c r="W4254" s="3"/>
      <c r="X4254" s="3"/>
      <c r="Y4254" s="3"/>
      <c r="Z4254" s="3"/>
      <c r="AA4254" s="3"/>
      <c r="AB4254" s="3"/>
    </row>
    <row r="4255" spans="1:28" x14ac:dyDescent="0.3">
      <c r="A4255" s="2"/>
      <c r="F4255" s="3"/>
      <c r="G4255" s="3"/>
      <c r="N4255" s="3"/>
      <c r="Q4255" s="3"/>
      <c r="R4255" s="3"/>
      <c r="S4255" s="3"/>
      <c r="V4255" s="3"/>
      <c r="W4255" s="3"/>
      <c r="X4255" s="3"/>
      <c r="Y4255" s="3"/>
      <c r="Z4255" s="3"/>
      <c r="AA4255" s="3"/>
      <c r="AB4255" s="3"/>
    </row>
    <row r="4256" spans="1:28" x14ac:dyDescent="0.3">
      <c r="A4256" s="2"/>
      <c r="F4256" s="3"/>
      <c r="G4256" s="3"/>
      <c r="N4256" s="3"/>
      <c r="Q4256" s="3"/>
      <c r="R4256" s="3"/>
      <c r="S4256" s="3"/>
      <c r="V4256" s="3"/>
      <c r="W4256" s="3"/>
      <c r="X4256" s="3"/>
      <c r="Y4256" s="3"/>
      <c r="Z4256" s="3"/>
      <c r="AA4256" s="3"/>
      <c r="AB4256" s="3"/>
    </row>
    <row r="4257" spans="1:28" x14ac:dyDescent="0.3">
      <c r="A4257" s="2"/>
      <c r="F4257" s="3"/>
      <c r="G4257" s="3"/>
      <c r="N4257" s="3"/>
      <c r="Q4257" s="3"/>
      <c r="R4257" s="3"/>
      <c r="S4257" s="3"/>
      <c r="V4257" s="3"/>
      <c r="W4257" s="3"/>
      <c r="X4257" s="3"/>
      <c r="Y4257" s="3"/>
      <c r="Z4257" s="3"/>
      <c r="AA4257" s="3"/>
      <c r="AB4257" s="3"/>
    </row>
    <row r="4258" spans="1:28" x14ac:dyDescent="0.3">
      <c r="A4258" s="2"/>
      <c r="F4258" s="3"/>
      <c r="G4258" s="3"/>
      <c r="N4258" s="3"/>
      <c r="Q4258" s="3"/>
      <c r="R4258" s="3"/>
      <c r="S4258" s="3"/>
      <c r="V4258" s="3"/>
      <c r="W4258" s="3"/>
      <c r="X4258" s="3"/>
      <c r="Y4258" s="3"/>
      <c r="Z4258" s="3"/>
      <c r="AA4258" s="3"/>
      <c r="AB4258" s="3"/>
    </row>
    <row r="4259" spans="1:28" x14ac:dyDescent="0.3">
      <c r="A4259" s="2"/>
      <c r="F4259" s="3"/>
      <c r="G4259" s="3"/>
      <c r="N4259" s="3"/>
      <c r="Q4259" s="3"/>
      <c r="R4259" s="3"/>
      <c r="S4259" s="3"/>
      <c r="V4259" s="3"/>
      <c r="W4259" s="3"/>
      <c r="X4259" s="3"/>
      <c r="Y4259" s="3"/>
      <c r="Z4259" s="3"/>
      <c r="AA4259" s="3"/>
      <c r="AB4259" s="3"/>
    </row>
    <row r="4260" spans="1:28" x14ac:dyDescent="0.3">
      <c r="A4260" s="2"/>
      <c r="F4260" s="3"/>
      <c r="G4260" s="3"/>
      <c r="N4260" s="3"/>
      <c r="Q4260" s="3"/>
      <c r="R4260" s="3"/>
      <c r="S4260" s="3"/>
      <c r="V4260" s="3"/>
      <c r="W4260" s="3"/>
      <c r="X4260" s="3"/>
      <c r="Y4260" s="3"/>
      <c r="Z4260" s="3"/>
      <c r="AA4260" s="3"/>
      <c r="AB4260" s="3"/>
    </row>
    <row r="4261" spans="1:28" x14ac:dyDescent="0.3">
      <c r="A4261" s="2"/>
      <c r="F4261" s="3"/>
      <c r="G4261" s="3"/>
      <c r="N4261" s="3"/>
      <c r="Q4261" s="3"/>
      <c r="R4261" s="3"/>
      <c r="S4261" s="3"/>
      <c r="V4261" s="3"/>
      <c r="W4261" s="3"/>
      <c r="X4261" s="3"/>
      <c r="Y4261" s="3"/>
      <c r="Z4261" s="3"/>
      <c r="AA4261" s="3"/>
      <c r="AB4261" s="3"/>
    </row>
    <row r="4262" spans="1:28" x14ac:dyDescent="0.3">
      <c r="A4262" s="2"/>
      <c r="F4262" s="3"/>
      <c r="G4262" s="3"/>
      <c r="N4262" s="3"/>
      <c r="Q4262" s="3"/>
      <c r="R4262" s="3"/>
      <c r="S4262" s="3"/>
      <c r="V4262" s="3"/>
      <c r="W4262" s="3"/>
      <c r="X4262" s="3"/>
      <c r="Y4262" s="3"/>
      <c r="Z4262" s="3"/>
      <c r="AA4262" s="3"/>
      <c r="AB4262" s="3"/>
    </row>
    <row r="4263" spans="1:28" x14ac:dyDescent="0.3">
      <c r="A4263" s="2"/>
      <c r="F4263" s="3"/>
      <c r="G4263" s="3"/>
      <c r="N4263" s="3"/>
      <c r="Q4263" s="3"/>
      <c r="R4263" s="3"/>
      <c r="S4263" s="3"/>
      <c r="V4263" s="3"/>
      <c r="W4263" s="3"/>
      <c r="X4263" s="3"/>
      <c r="Y4263" s="3"/>
      <c r="Z4263" s="3"/>
      <c r="AA4263" s="3"/>
      <c r="AB4263" s="3"/>
    </row>
    <row r="4264" spans="1:28" x14ac:dyDescent="0.3">
      <c r="A4264" s="2"/>
      <c r="F4264" s="3"/>
      <c r="G4264" s="3"/>
      <c r="N4264" s="3"/>
      <c r="Q4264" s="3"/>
      <c r="R4264" s="3"/>
      <c r="S4264" s="3"/>
      <c r="V4264" s="3"/>
      <c r="W4264" s="3"/>
      <c r="X4264" s="3"/>
      <c r="Y4264" s="3"/>
      <c r="Z4264" s="3"/>
      <c r="AA4264" s="3"/>
      <c r="AB4264" s="3"/>
    </row>
    <row r="4265" spans="1:28" x14ac:dyDescent="0.3">
      <c r="A4265" s="2"/>
      <c r="F4265" s="3"/>
      <c r="G4265" s="3"/>
      <c r="N4265" s="3"/>
      <c r="Q4265" s="3"/>
      <c r="R4265" s="3"/>
      <c r="S4265" s="3"/>
      <c r="V4265" s="3"/>
      <c r="W4265" s="3"/>
      <c r="X4265" s="3"/>
      <c r="Y4265" s="3"/>
      <c r="Z4265" s="3"/>
      <c r="AA4265" s="3"/>
      <c r="AB4265" s="3"/>
    </row>
    <row r="4266" spans="1:28" x14ac:dyDescent="0.3">
      <c r="A4266" s="2"/>
      <c r="F4266" s="3"/>
      <c r="G4266" s="3"/>
      <c r="N4266" s="3"/>
      <c r="Q4266" s="3"/>
      <c r="R4266" s="3"/>
      <c r="S4266" s="3"/>
      <c r="V4266" s="3"/>
      <c r="W4266" s="3"/>
      <c r="X4266" s="3"/>
      <c r="Y4266" s="3"/>
      <c r="Z4266" s="3"/>
      <c r="AA4266" s="3"/>
      <c r="AB4266" s="3"/>
    </row>
    <row r="4267" spans="1:28" x14ac:dyDescent="0.3">
      <c r="A4267" s="2"/>
      <c r="F4267" s="3"/>
      <c r="G4267" s="3"/>
      <c r="N4267" s="3"/>
      <c r="Q4267" s="3"/>
      <c r="R4267" s="3"/>
      <c r="S4267" s="3"/>
      <c r="V4267" s="3"/>
      <c r="W4267" s="3"/>
      <c r="X4267" s="3"/>
      <c r="Y4267" s="3"/>
      <c r="Z4267" s="3"/>
      <c r="AA4267" s="3"/>
      <c r="AB4267" s="3"/>
    </row>
    <row r="4268" spans="1:28" x14ac:dyDescent="0.3">
      <c r="A4268" s="2"/>
      <c r="F4268" s="3"/>
      <c r="G4268" s="3"/>
      <c r="N4268" s="3"/>
      <c r="Q4268" s="3"/>
      <c r="R4268" s="3"/>
      <c r="S4268" s="3"/>
      <c r="V4268" s="3"/>
      <c r="W4268" s="3"/>
      <c r="X4268" s="3"/>
      <c r="Y4268" s="3"/>
      <c r="Z4268" s="3"/>
      <c r="AA4268" s="3"/>
      <c r="AB4268" s="3"/>
    </row>
    <row r="4269" spans="1:28" x14ac:dyDescent="0.3">
      <c r="A4269" s="2"/>
      <c r="F4269" s="3"/>
      <c r="G4269" s="3"/>
      <c r="N4269" s="3"/>
      <c r="Q4269" s="3"/>
      <c r="R4269" s="3"/>
      <c r="S4269" s="3"/>
      <c r="V4269" s="3"/>
      <c r="W4269" s="3"/>
      <c r="X4269" s="3"/>
      <c r="Y4269" s="3"/>
      <c r="Z4269" s="3"/>
      <c r="AA4269" s="3"/>
      <c r="AB4269" s="3"/>
    </row>
    <row r="4270" spans="1:28" x14ac:dyDescent="0.3">
      <c r="A4270" s="2"/>
      <c r="F4270" s="3"/>
      <c r="G4270" s="3"/>
      <c r="N4270" s="3"/>
      <c r="Q4270" s="3"/>
      <c r="R4270" s="3"/>
      <c r="S4270" s="3"/>
      <c r="V4270" s="3"/>
      <c r="W4270" s="3"/>
      <c r="X4270" s="3"/>
      <c r="Y4270" s="3"/>
      <c r="Z4270" s="3"/>
      <c r="AA4270" s="3"/>
      <c r="AB4270" s="3"/>
    </row>
    <row r="4271" spans="1:28" x14ac:dyDescent="0.3">
      <c r="A4271" s="2"/>
      <c r="F4271" s="3"/>
      <c r="G4271" s="3"/>
      <c r="N4271" s="3"/>
      <c r="Q4271" s="3"/>
      <c r="R4271" s="3"/>
      <c r="S4271" s="3"/>
      <c r="V4271" s="3"/>
      <c r="W4271" s="3"/>
      <c r="X4271" s="3"/>
      <c r="Y4271" s="3"/>
      <c r="Z4271" s="3"/>
      <c r="AA4271" s="3"/>
      <c r="AB4271" s="3"/>
    </row>
    <row r="4272" spans="1:28" x14ac:dyDescent="0.3">
      <c r="A4272" s="2"/>
      <c r="F4272" s="3"/>
      <c r="G4272" s="3"/>
      <c r="N4272" s="3"/>
      <c r="Q4272" s="3"/>
      <c r="R4272" s="3"/>
      <c r="S4272" s="3"/>
      <c r="V4272" s="3"/>
      <c r="W4272" s="3"/>
      <c r="X4272" s="3"/>
      <c r="Y4272" s="3"/>
      <c r="Z4272" s="3"/>
      <c r="AA4272" s="3"/>
      <c r="AB4272" s="3"/>
    </row>
    <row r="4273" spans="1:28" x14ac:dyDescent="0.3">
      <c r="A4273" s="2"/>
      <c r="F4273" s="3"/>
      <c r="G4273" s="3"/>
      <c r="N4273" s="3"/>
      <c r="Q4273" s="3"/>
      <c r="R4273" s="3"/>
      <c r="S4273" s="3"/>
      <c r="V4273" s="3"/>
      <c r="W4273" s="3"/>
      <c r="X4273" s="3"/>
      <c r="Y4273" s="3"/>
      <c r="Z4273" s="3"/>
      <c r="AA4273" s="3"/>
      <c r="AB4273" s="3"/>
    </row>
    <row r="4274" spans="1:28" x14ac:dyDescent="0.3">
      <c r="A4274" s="2"/>
      <c r="F4274" s="3"/>
      <c r="G4274" s="3"/>
      <c r="N4274" s="3"/>
      <c r="Q4274" s="3"/>
      <c r="R4274" s="3"/>
      <c r="S4274" s="3"/>
      <c r="V4274" s="3"/>
      <c r="W4274" s="3"/>
      <c r="X4274" s="3"/>
      <c r="Y4274" s="3"/>
      <c r="Z4274" s="3"/>
      <c r="AA4274" s="3"/>
      <c r="AB4274" s="3"/>
    </row>
    <row r="4275" spans="1:28" x14ac:dyDescent="0.3">
      <c r="A4275" s="2"/>
      <c r="F4275" s="3"/>
      <c r="G4275" s="3"/>
      <c r="N4275" s="3"/>
      <c r="Q4275" s="3"/>
      <c r="R4275" s="3"/>
      <c r="S4275" s="3"/>
      <c r="V4275" s="3"/>
      <c r="W4275" s="3"/>
      <c r="X4275" s="3"/>
      <c r="Y4275" s="3"/>
      <c r="Z4275" s="3"/>
      <c r="AA4275" s="3"/>
      <c r="AB4275" s="3"/>
    </row>
    <row r="4276" spans="1:28" x14ac:dyDescent="0.3">
      <c r="A4276" s="2"/>
      <c r="F4276" s="3"/>
      <c r="G4276" s="3"/>
      <c r="N4276" s="3"/>
      <c r="Q4276" s="3"/>
      <c r="R4276" s="3"/>
      <c r="S4276" s="3"/>
      <c r="V4276" s="3"/>
      <c r="W4276" s="3"/>
      <c r="X4276" s="3"/>
      <c r="Y4276" s="3"/>
      <c r="Z4276" s="3"/>
      <c r="AA4276" s="3"/>
      <c r="AB4276" s="3"/>
    </row>
    <row r="4277" spans="1:28" x14ac:dyDescent="0.3">
      <c r="A4277" s="2"/>
      <c r="F4277" s="3"/>
      <c r="G4277" s="3"/>
      <c r="N4277" s="3"/>
      <c r="Q4277" s="3"/>
      <c r="R4277" s="3"/>
      <c r="S4277" s="3"/>
      <c r="V4277" s="3"/>
      <c r="W4277" s="3"/>
      <c r="X4277" s="3"/>
      <c r="Y4277" s="3"/>
      <c r="Z4277" s="3"/>
      <c r="AA4277" s="3"/>
      <c r="AB4277" s="3"/>
    </row>
    <row r="4278" spans="1:28" x14ac:dyDescent="0.3">
      <c r="A4278" s="2"/>
      <c r="F4278" s="3"/>
      <c r="G4278" s="3"/>
      <c r="N4278" s="3"/>
      <c r="Q4278" s="3"/>
      <c r="R4278" s="3"/>
      <c r="S4278" s="3"/>
      <c r="V4278" s="3"/>
      <c r="W4278" s="3"/>
      <c r="X4278" s="3"/>
      <c r="Y4278" s="3"/>
      <c r="Z4278" s="3"/>
      <c r="AA4278" s="3"/>
      <c r="AB4278" s="3"/>
    </row>
    <row r="4279" spans="1:28" x14ac:dyDescent="0.3">
      <c r="A4279" s="2"/>
      <c r="F4279" s="3"/>
      <c r="G4279" s="3"/>
      <c r="N4279" s="3"/>
      <c r="Q4279" s="3"/>
      <c r="R4279" s="3"/>
      <c r="S4279" s="3"/>
      <c r="V4279" s="3"/>
      <c r="W4279" s="3"/>
      <c r="X4279" s="3"/>
      <c r="Y4279" s="3"/>
      <c r="Z4279" s="3"/>
      <c r="AA4279" s="3"/>
      <c r="AB4279" s="3"/>
    </row>
    <row r="4280" spans="1:28" x14ac:dyDescent="0.3">
      <c r="A4280" s="2"/>
      <c r="F4280" s="3"/>
      <c r="G4280" s="3"/>
      <c r="N4280" s="3"/>
      <c r="Q4280" s="3"/>
      <c r="R4280" s="3"/>
      <c r="S4280" s="3"/>
      <c r="V4280" s="3"/>
      <c r="W4280" s="3"/>
      <c r="X4280" s="3"/>
      <c r="Y4280" s="3"/>
      <c r="Z4280" s="3"/>
      <c r="AA4280" s="3"/>
      <c r="AB4280" s="3"/>
    </row>
    <row r="4281" spans="1:28" x14ac:dyDescent="0.3">
      <c r="A4281" s="2"/>
      <c r="F4281" s="3"/>
      <c r="G4281" s="3"/>
      <c r="N4281" s="3"/>
      <c r="Q4281" s="3"/>
      <c r="R4281" s="3"/>
      <c r="S4281" s="3"/>
      <c r="V4281" s="3"/>
      <c r="W4281" s="3"/>
      <c r="X4281" s="3"/>
      <c r="Y4281" s="3"/>
      <c r="Z4281" s="3"/>
      <c r="AA4281" s="3"/>
      <c r="AB4281" s="3"/>
    </row>
    <row r="4282" spans="1:28" x14ac:dyDescent="0.3">
      <c r="A4282" s="2"/>
      <c r="F4282" s="3"/>
      <c r="G4282" s="3"/>
      <c r="N4282" s="3"/>
      <c r="Q4282" s="3"/>
      <c r="R4282" s="3"/>
      <c r="S4282" s="3"/>
      <c r="V4282" s="3"/>
      <c r="W4282" s="3"/>
      <c r="X4282" s="3"/>
      <c r="Y4282" s="3"/>
      <c r="Z4282" s="3"/>
      <c r="AA4282" s="3"/>
      <c r="AB4282" s="3"/>
    </row>
    <row r="4283" spans="1:28" x14ac:dyDescent="0.3">
      <c r="A4283" s="2"/>
      <c r="F4283" s="3"/>
      <c r="G4283" s="3"/>
      <c r="N4283" s="3"/>
      <c r="Q4283" s="3"/>
      <c r="R4283" s="3"/>
      <c r="S4283" s="3"/>
      <c r="V4283" s="3"/>
      <c r="W4283" s="3"/>
      <c r="X4283" s="3"/>
      <c r="Y4283" s="3"/>
      <c r="Z4283" s="3"/>
      <c r="AA4283" s="3"/>
      <c r="AB4283" s="3"/>
    </row>
    <row r="4284" spans="1:28" x14ac:dyDescent="0.3">
      <c r="A4284" s="2"/>
      <c r="F4284" s="3"/>
      <c r="G4284" s="3"/>
      <c r="N4284" s="3"/>
      <c r="Q4284" s="3"/>
      <c r="R4284" s="3"/>
      <c r="S4284" s="3"/>
      <c r="V4284" s="3"/>
      <c r="W4284" s="3"/>
      <c r="X4284" s="3"/>
      <c r="Y4284" s="3"/>
      <c r="Z4284" s="3"/>
      <c r="AA4284" s="3"/>
      <c r="AB4284" s="3"/>
    </row>
    <row r="4285" spans="1:28" x14ac:dyDescent="0.3">
      <c r="A4285" s="2"/>
      <c r="F4285" s="3"/>
      <c r="G4285" s="3"/>
      <c r="N4285" s="3"/>
      <c r="Q4285" s="3"/>
      <c r="R4285" s="3"/>
      <c r="S4285" s="3"/>
      <c r="V4285" s="3"/>
      <c r="W4285" s="3"/>
      <c r="X4285" s="3"/>
      <c r="Y4285" s="3"/>
      <c r="Z4285" s="3"/>
      <c r="AA4285" s="3"/>
      <c r="AB4285" s="3"/>
    </row>
    <row r="4286" spans="1:28" x14ac:dyDescent="0.3">
      <c r="A4286" s="2"/>
      <c r="F4286" s="3"/>
      <c r="G4286" s="3"/>
      <c r="N4286" s="3"/>
      <c r="Q4286" s="3"/>
      <c r="R4286" s="3"/>
      <c r="S4286" s="3"/>
      <c r="V4286" s="3"/>
      <c r="W4286" s="3"/>
      <c r="X4286" s="3"/>
      <c r="Y4286" s="3"/>
      <c r="Z4286" s="3"/>
      <c r="AA4286" s="3"/>
      <c r="AB4286" s="3"/>
    </row>
    <row r="4287" spans="1:28" x14ac:dyDescent="0.3">
      <c r="A4287" s="2"/>
      <c r="F4287" s="3"/>
      <c r="G4287" s="3"/>
      <c r="N4287" s="3"/>
      <c r="Q4287" s="3"/>
      <c r="R4287" s="3"/>
      <c r="S4287" s="3"/>
      <c r="V4287" s="3"/>
      <c r="W4287" s="3"/>
      <c r="X4287" s="3"/>
      <c r="Y4287" s="3"/>
      <c r="Z4287" s="3"/>
      <c r="AA4287" s="3"/>
      <c r="AB4287" s="3"/>
    </row>
    <row r="4288" spans="1:28" x14ac:dyDescent="0.3">
      <c r="A4288" s="2"/>
      <c r="F4288" s="3"/>
      <c r="G4288" s="3"/>
      <c r="N4288" s="3"/>
      <c r="Q4288" s="3"/>
      <c r="R4288" s="3"/>
      <c r="S4288" s="3"/>
      <c r="V4288" s="3"/>
      <c r="W4288" s="3"/>
      <c r="X4288" s="3"/>
      <c r="Y4288" s="3"/>
      <c r="Z4288" s="3"/>
      <c r="AA4288" s="3"/>
      <c r="AB4288" s="3"/>
    </row>
    <row r="4289" spans="1:28" x14ac:dyDescent="0.3">
      <c r="A4289" s="2"/>
      <c r="F4289" s="3"/>
      <c r="G4289" s="3"/>
      <c r="N4289" s="3"/>
      <c r="Q4289" s="3"/>
      <c r="R4289" s="3"/>
      <c r="S4289" s="3"/>
      <c r="V4289" s="3"/>
      <c r="W4289" s="3"/>
      <c r="X4289" s="3"/>
      <c r="Y4289" s="3"/>
      <c r="Z4289" s="3"/>
      <c r="AA4289" s="3"/>
      <c r="AB4289" s="3"/>
    </row>
    <row r="4290" spans="1:28" x14ac:dyDescent="0.3">
      <c r="A4290" s="2"/>
      <c r="F4290" s="3"/>
      <c r="G4290" s="3"/>
      <c r="N4290" s="3"/>
      <c r="Q4290" s="3"/>
      <c r="R4290" s="3"/>
      <c r="S4290" s="3"/>
      <c r="V4290" s="3"/>
      <c r="W4290" s="3"/>
      <c r="X4290" s="3"/>
      <c r="Y4290" s="3"/>
      <c r="Z4290" s="3"/>
      <c r="AA4290" s="3"/>
      <c r="AB4290" s="3"/>
    </row>
    <row r="4291" spans="1:28" x14ac:dyDescent="0.3">
      <c r="A4291" s="2"/>
      <c r="F4291" s="3"/>
      <c r="G4291" s="3"/>
      <c r="N4291" s="3"/>
      <c r="Q4291" s="3"/>
      <c r="R4291" s="3"/>
      <c r="S4291" s="3"/>
      <c r="V4291" s="3"/>
      <c r="W4291" s="3"/>
      <c r="X4291" s="3"/>
      <c r="Y4291" s="3"/>
      <c r="Z4291" s="3"/>
      <c r="AA4291" s="3"/>
      <c r="AB4291" s="3"/>
    </row>
    <row r="4292" spans="1:28" x14ac:dyDescent="0.3">
      <c r="A4292" s="2"/>
      <c r="F4292" s="3"/>
      <c r="G4292" s="3"/>
      <c r="N4292" s="3"/>
      <c r="Q4292" s="3"/>
      <c r="R4292" s="3"/>
      <c r="S4292" s="3"/>
      <c r="V4292" s="3"/>
      <c r="W4292" s="3"/>
      <c r="X4292" s="3"/>
      <c r="Y4292" s="3"/>
      <c r="Z4292" s="3"/>
      <c r="AA4292" s="3"/>
      <c r="AB4292" s="3"/>
    </row>
    <row r="4293" spans="1:28" x14ac:dyDescent="0.3">
      <c r="A4293" s="2"/>
      <c r="F4293" s="3"/>
      <c r="G4293" s="3"/>
      <c r="N4293" s="3"/>
      <c r="Q4293" s="3"/>
      <c r="R4293" s="3"/>
      <c r="S4293" s="3"/>
      <c r="V4293" s="3"/>
      <c r="W4293" s="3"/>
      <c r="X4293" s="3"/>
      <c r="Y4293" s="3"/>
      <c r="Z4293" s="3"/>
      <c r="AA4293" s="3"/>
      <c r="AB4293" s="3"/>
    </row>
    <row r="4294" spans="1:28" x14ac:dyDescent="0.3">
      <c r="A4294" s="2"/>
      <c r="F4294" s="3"/>
      <c r="G4294" s="3"/>
      <c r="N4294" s="3"/>
      <c r="Q4294" s="3"/>
      <c r="R4294" s="3"/>
      <c r="S4294" s="3"/>
      <c r="V4294" s="3"/>
      <c r="W4294" s="3"/>
      <c r="X4294" s="3"/>
      <c r="Y4294" s="3"/>
      <c r="Z4294" s="3"/>
      <c r="AA4294" s="3"/>
      <c r="AB4294" s="3"/>
    </row>
    <row r="4295" spans="1:28" x14ac:dyDescent="0.3">
      <c r="A4295" s="2"/>
      <c r="F4295" s="3"/>
      <c r="G4295" s="3"/>
      <c r="N4295" s="3"/>
      <c r="Q4295" s="3"/>
      <c r="R4295" s="3"/>
      <c r="S4295" s="3"/>
      <c r="V4295" s="3"/>
      <c r="W4295" s="3"/>
      <c r="X4295" s="3"/>
      <c r="Y4295" s="3"/>
      <c r="Z4295" s="3"/>
      <c r="AA4295" s="3"/>
      <c r="AB4295" s="3"/>
    </row>
    <row r="4296" spans="1:28" x14ac:dyDescent="0.3">
      <c r="A4296" s="2"/>
      <c r="F4296" s="3"/>
      <c r="G4296" s="3"/>
      <c r="N4296" s="3"/>
      <c r="Q4296" s="3"/>
      <c r="R4296" s="3"/>
      <c r="S4296" s="3"/>
      <c r="V4296" s="3"/>
      <c r="W4296" s="3"/>
      <c r="X4296" s="3"/>
      <c r="Y4296" s="3"/>
      <c r="Z4296" s="3"/>
      <c r="AA4296" s="3"/>
      <c r="AB4296" s="3"/>
    </row>
    <row r="4297" spans="1:28" x14ac:dyDescent="0.3">
      <c r="A4297" s="2"/>
      <c r="F4297" s="3"/>
      <c r="G4297" s="3"/>
      <c r="N4297" s="3"/>
      <c r="Q4297" s="3"/>
      <c r="R4297" s="3"/>
      <c r="S4297" s="3"/>
      <c r="V4297" s="3"/>
      <c r="W4297" s="3"/>
      <c r="X4297" s="3"/>
      <c r="Y4297" s="3"/>
      <c r="Z4297" s="3"/>
      <c r="AA4297" s="3"/>
      <c r="AB4297" s="3"/>
    </row>
    <row r="4298" spans="1:28" x14ac:dyDescent="0.3">
      <c r="A4298" s="2"/>
      <c r="F4298" s="3"/>
      <c r="G4298" s="3"/>
      <c r="N4298" s="3"/>
      <c r="Q4298" s="3"/>
      <c r="R4298" s="3"/>
      <c r="S4298" s="3"/>
      <c r="V4298" s="3"/>
      <c r="W4298" s="3"/>
      <c r="X4298" s="3"/>
      <c r="Y4298" s="3"/>
      <c r="Z4298" s="3"/>
      <c r="AA4298" s="3"/>
      <c r="AB4298" s="3"/>
    </row>
    <row r="4299" spans="1:28" x14ac:dyDescent="0.3">
      <c r="A4299" s="2"/>
      <c r="F4299" s="3"/>
      <c r="G4299" s="3"/>
      <c r="N4299" s="3"/>
      <c r="Q4299" s="3"/>
      <c r="R4299" s="3"/>
      <c r="S4299" s="3"/>
      <c r="V4299" s="3"/>
      <c r="W4299" s="3"/>
      <c r="X4299" s="3"/>
      <c r="Y4299" s="3"/>
      <c r="Z4299" s="3"/>
      <c r="AA4299" s="3"/>
      <c r="AB4299" s="3"/>
    </row>
    <row r="4300" spans="1:28" x14ac:dyDescent="0.3">
      <c r="A4300" s="2"/>
      <c r="F4300" s="3"/>
      <c r="G4300" s="3"/>
      <c r="N4300" s="3"/>
      <c r="Q4300" s="3"/>
      <c r="R4300" s="3"/>
      <c r="S4300" s="3"/>
      <c r="V4300" s="3"/>
      <c r="W4300" s="3"/>
      <c r="X4300" s="3"/>
      <c r="Y4300" s="3"/>
      <c r="Z4300" s="3"/>
      <c r="AA4300" s="3"/>
      <c r="AB4300" s="3"/>
    </row>
    <row r="4301" spans="1:28" x14ac:dyDescent="0.3">
      <c r="A4301" s="2"/>
      <c r="F4301" s="3"/>
      <c r="G4301" s="3"/>
      <c r="N4301" s="3"/>
      <c r="Q4301" s="3"/>
      <c r="R4301" s="3"/>
      <c r="S4301" s="3"/>
      <c r="V4301" s="3"/>
      <c r="W4301" s="3"/>
      <c r="X4301" s="3"/>
      <c r="Y4301" s="3"/>
      <c r="Z4301" s="3"/>
      <c r="AA4301" s="3"/>
      <c r="AB4301" s="3"/>
    </row>
    <row r="4302" spans="1:28" x14ac:dyDescent="0.3">
      <c r="A4302" s="2"/>
      <c r="F4302" s="3"/>
      <c r="G4302" s="3"/>
      <c r="N4302" s="3"/>
      <c r="Q4302" s="3"/>
      <c r="R4302" s="3"/>
      <c r="S4302" s="3"/>
      <c r="V4302" s="3"/>
      <c r="W4302" s="3"/>
      <c r="X4302" s="3"/>
      <c r="Y4302" s="3"/>
      <c r="Z4302" s="3"/>
      <c r="AA4302" s="3"/>
      <c r="AB4302" s="3"/>
    </row>
    <row r="4303" spans="1:28" x14ac:dyDescent="0.3">
      <c r="A4303" s="2"/>
      <c r="F4303" s="3"/>
      <c r="G4303" s="3"/>
      <c r="N4303" s="3"/>
      <c r="Q4303" s="3"/>
      <c r="R4303" s="3"/>
      <c r="S4303" s="3"/>
      <c r="V4303" s="3"/>
      <c r="W4303" s="3"/>
      <c r="X4303" s="3"/>
      <c r="Y4303" s="3"/>
      <c r="Z4303" s="3"/>
      <c r="AA4303" s="3"/>
      <c r="AB4303" s="3"/>
    </row>
    <row r="4304" spans="1:28" x14ac:dyDescent="0.3">
      <c r="A4304" s="2"/>
      <c r="F4304" s="3"/>
      <c r="G4304" s="3"/>
      <c r="N4304" s="3"/>
      <c r="Q4304" s="3"/>
      <c r="R4304" s="3"/>
      <c r="S4304" s="3"/>
      <c r="V4304" s="3"/>
      <c r="W4304" s="3"/>
      <c r="X4304" s="3"/>
      <c r="Y4304" s="3"/>
      <c r="Z4304" s="3"/>
      <c r="AA4304" s="3"/>
      <c r="AB4304" s="3"/>
    </row>
    <row r="4305" spans="1:28" x14ac:dyDescent="0.3">
      <c r="A4305" s="2"/>
      <c r="F4305" s="3"/>
      <c r="G4305" s="3"/>
      <c r="N4305" s="3"/>
      <c r="Q4305" s="3"/>
      <c r="R4305" s="3"/>
      <c r="S4305" s="3"/>
      <c r="V4305" s="3"/>
      <c r="W4305" s="3"/>
      <c r="X4305" s="3"/>
      <c r="Y4305" s="3"/>
      <c r="Z4305" s="3"/>
      <c r="AA4305" s="3"/>
      <c r="AB4305" s="3"/>
    </row>
    <row r="4306" spans="1:28" x14ac:dyDescent="0.3">
      <c r="A4306" s="2"/>
      <c r="F4306" s="3"/>
      <c r="G4306" s="3"/>
      <c r="N4306" s="3"/>
      <c r="Q4306" s="3"/>
      <c r="R4306" s="3"/>
      <c r="S4306" s="3"/>
      <c r="V4306" s="3"/>
      <c r="W4306" s="3"/>
      <c r="X4306" s="3"/>
      <c r="Y4306" s="3"/>
      <c r="Z4306" s="3"/>
      <c r="AA4306" s="3"/>
      <c r="AB4306" s="3"/>
    </row>
    <row r="4307" spans="1:28" x14ac:dyDescent="0.3">
      <c r="A4307" s="2"/>
      <c r="F4307" s="3"/>
      <c r="G4307" s="3"/>
      <c r="N4307" s="3"/>
      <c r="Q4307" s="3"/>
      <c r="R4307" s="3"/>
      <c r="S4307" s="3"/>
      <c r="V4307" s="3"/>
      <c r="W4307" s="3"/>
      <c r="X4307" s="3"/>
      <c r="Y4307" s="3"/>
      <c r="Z4307" s="3"/>
      <c r="AA4307" s="3"/>
      <c r="AB4307" s="3"/>
    </row>
    <row r="4308" spans="1:28" x14ac:dyDescent="0.3">
      <c r="A4308" s="2"/>
      <c r="F4308" s="3"/>
      <c r="G4308" s="3"/>
      <c r="N4308" s="3"/>
      <c r="Q4308" s="3"/>
      <c r="R4308" s="3"/>
      <c r="S4308" s="3"/>
      <c r="V4308" s="3"/>
      <c r="W4308" s="3"/>
      <c r="X4308" s="3"/>
      <c r="Y4308" s="3"/>
      <c r="Z4308" s="3"/>
      <c r="AA4308" s="3"/>
      <c r="AB4308" s="3"/>
    </row>
    <row r="4309" spans="1:28" x14ac:dyDescent="0.3">
      <c r="A4309" s="2"/>
      <c r="F4309" s="3"/>
      <c r="G4309" s="3"/>
      <c r="N4309" s="3"/>
      <c r="Q4309" s="3"/>
      <c r="R4309" s="3"/>
      <c r="S4309" s="3"/>
      <c r="V4309" s="3"/>
      <c r="W4309" s="3"/>
      <c r="X4309" s="3"/>
      <c r="Y4309" s="3"/>
      <c r="Z4309" s="3"/>
      <c r="AA4309" s="3"/>
      <c r="AB4309" s="3"/>
    </row>
    <row r="4310" spans="1:28" x14ac:dyDescent="0.3">
      <c r="A4310" s="2"/>
      <c r="F4310" s="3"/>
      <c r="G4310" s="3"/>
      <c r="N4310" s="3"/>
      <c r="Q4310" s="3"/>
      <c r="R4310" s="3"/>
      <c r="S4310" s="3"/>
      <c r="V4310" s="3"/>
      <c r="W4310" s="3"/>
      <c r="X4310" s="3"/>
      <c r="Y4310" s="3"/>
      <c r="Z4310" s="3"/>
      <c r="AA4310" s="3"/>
      <c r="AB4310" s="3"/>
    </row>
    <row r="4311" spans="1:28" x14ac:dyDescent="0.3">
      <c r="A4311" s="2"/>
      <c r="F4311" s="3"/>
      <c r="G4311" s="3"/>
      <c r="N4311" s="3"/>
      <c r="Q4311" s="3"/>
      <c r="R4311" s="3"/>
      <c r="S4311" s="3"/>
      <c r="V4311" s="3"/>
      <c r="W4311" s="3"/>
      <c r="X4311" s="3"/>
      <c r="Y4311" s="3"/>
      <c r="Z4311" s="3"/>
      <c r="AA4311" s="3"/>
      <c r="AB4311" s="3"/>
    </row>
    <row r="4312" spans="1:28" x14ac:dyDescent="0.3">
      <c r="A4312" s="2"/>
      <c r="F4312" s="3"/>
      <c r="G4312" s="3"/>
      <c r="N4312" s="3"/>
      <c r="Q4312" s="3"/>
      <c r="R4312" s="3"/>
      <c r="S4312" s="3"/>
      <c r="V4312" s="3"/>
      <c r="W4312" s="3"/>
      <c r="X4312" s="3"/>
      <c r="Y4312" s="3"/>
      <c r="Z4312" s="3"/>
      <c r="AA4312" s="3"/>
      <c r="AB4312" s="3"/>
    </row>
    <row r="4313" spans="1:28" x14ac:dyDescent="0.3">
      <c r="A4313" s="2"/>
      <c r="F4313" s="3"/>
      <c r="G4313" s="3"/>
      <c r="N4313" s="3"/>
      <c r="Q4313" s="3"/>
      <c r="R4313" s="3"/>
      <c r="S4313" s="3"/>
      <c r="V4313" s="3"/>
      <c r="W4313" s="3"/>
      <c r="X4313" s="3"/>
      <c r="Y4313" s="3"/>
      <c r="Z4313" s="3"/>
      <c r="AA4313" s="3"/>
      <c r="AB4313" s="3"/>
    </row>
    <row r="4314" spans="1:28" x14ac:dyDescent="0.3">
      <c r="A4314" s="2"/>
      <c r="F4314" s="3"/>
      <c r="G4314" s="3"/>
      <c r="N4314" s="3"/>
      <c r="Q4314" s="3"/>
      <c r="R4314" s="3"/>
      <c r="S4314" s="3"/>
      <c r="V4314" s="3"/>
      <c r="W4314" s="3"/>
      <c r="X4314" s="3"/>
      <c r="Y4314" s="3"/>
      <c r="Z4314" s="3"/>
      <c r="AA4314" s="3"/>
      <c r="AB4314" s="3"/>
    </row>
    <row r="4315" spans="1:28" x14ac:dyDescent="0.3">
      <c r="A4315" s="2"/>
      <c r="F4315" s="3"/>
      <c r="G4315" s="3"/>
      <c r="N4315" s="3"/>
      <c r="Q4315" s="3"/>
      <c r="R4315" s="3"/>
      <c r="S4315" s="3"/>
      <c r="V4315" s="3"/>
      <c r="W4315" s="3"/>
      <c r="X4315" s="3"/>
      <c r="Y4315" s="3"/>
      <c r="Z4315" s="3"/>
      <c r="AA4315" s="3"/>
      <c r="AB4315" s="3"/>
    </row>
    <row r="4316" spans="1:28" x14ac:dyDescent="0.3">
      <c r="A4316" s="2"/>
      <c r="F4316" s="3"/>
      <c r="G4316" s="3"/>
      <c r="N4316" s="3"/>
      <c r="Q4316" s="3"/>
      <c r="R4316" s="3"/>
      <c r="S4316" s="3"/>
      <c r="V4316" s="3"/>
      <c r="W4316" s="3"/>
      <c r="X4316" s="3"/>
      <c r="Y4316" s="3"/>
      <c r="Z4316" s="3"/>
      <c r="AA4316" s="3"/>
      <c r="AB4316" s="3"/>
    </row>
    <row r="4317" spans="1:28" x14ac:dyDescent="0.3">
      <c r="A4317" s="2"/>
      <c r="F4317" s="3"/>
      <c r="G4317" s="3"/>
      <c r="N4317" s="3"/>
      <c r="Q4317" s="3"/>
      <c r="R4317" s="3"/>
      <c r="S4317" s="3"/>
      <c r="V4317" s="3"/>
      <c r="W4317" s="3"/>
      <c r="X4317" s="3"/>
      <c r="Y4317" s="3"/>
      <c r="Z4317" s="3"/>
      <c r="AA4317" s="3"/>
      <c r="AB4317" s="3"/>
    </row>
    <row r="4318" spans="1:28" x14ac:dyDescent="0.3">
      <c r="A4318" s="2"/>
      <c r="F4318" s="3"/>
      <c r="G4318" s="3"/>
      <c r="N4318" s="3"/>
      <c r="Q4318" s="3"/>
      <c r="R4318" s="3"/>
      <c r="S4318" s="3"/>
      <c r="V4318" s="3"/>
      <c r="W4318" s="3"/>
      <c r="X4318" s="3"/>
      <c r="Y4318" s="3"/>
      <c r="Z4318" s="3"/>
      <c r="AA4318" s="3"/>
      <c r="AB4318" s="3"/>
    </row>
    <row r="4319" spans="1:28" x14ac:dyDescent="0.3">
      <c r="A4319" s="2"/>
      <c r="F4319" s="3"/>
      <c r="G4319" s="3"/>
      <c r="N4319" s="3"/>
      <c r="Q4319" s="3"/>
      <c r="R4319" s="3"/>
      <c r="S4319" s="3"/>
      <c r="V4319" s="3"/>
      <c r="W4319" s="3"/>
      <c r="X4319" s="3"/>
      <c r="Y4319" s="3"/>
      <c r="Z4319" s="3"/>
      <c r="AA4319" s="3"/>
      <c r="AB4319" s="3"/>
    </row>
    <row r="4320" spans="1:28" x14ac:dyDescent="0.3">
      <c r="A4320" s="2"/>
      <c r="F4320" s="3"/>
      <c r="G4320" s="3"/>
      <c r="N4320" s="3"/>
      <c r="Q4320" s="3"/>
      <c r="R4320" s="3"/>
      <c r="S4320" s="3"/>
      <c r="V4320" s="3"/>
      <c r="W4320" s="3"/>
      <c r="X4320" s="3"/>
      <c r="Y4320" s="3"/>
      <c r="Z4320" s="3"/>
      <c r="AA4320" s="3"/>
      <c r="AB4320" s="3"/>
    </row>
    <row r="4321" spans="1:28" x14ac:dyDescent="0.3">
      <c r="A4321" s="2"/>
      <c r="F4321" s="3"/>
      <c r="G4321" s="3"/>
      <c r="N4321" s="3"/>
      <c r="Q4321" s="3"/>
      <c r="R4321" s="3"/>
      <c r="S4321" s="3"/>
      <c r="V4321" s="3"/>
      <c r="W4321" s="3"/>
      <c r="X4321" s="3"/>
      <c r="Y4321" s="3"/>
      <c r="Z4321" s="3"/>
      <c r="AA4321" s="3"/>
      <c r="AB4321" s="3"/>
    </row>
    <row r="4322" spans="1:28" x14ac:dyDescent="0.3">
      <c r="A4322" s="2"/>
      <c r="F4322" s="3"/>
      <c r="G4322" s="3"/>
      <c r="N4322" s="3"/>
      <c r="Q4322" s="3"/>
      <c r="R4322" s="3"/>
      <c r="S4322" s="3"/>
      <c r="V4322" s="3"/>
      <c r="W4322" s="3"/>
      <c r="X4322" s="3"/>
      <c r="Y4322" s="3"/>
      <c r="Z4322" s="3"/>
      <c r="AA4322" s="3"/>
      <c r="AB4322" s="3"/>
    </row>
    <row r="4323" spans="1:28" x14ac:dyDescent="0.3">
      <c r="A4323" s="2"/>
      <c r="F4323" s="3"/>
      <c r="G4323" s="3"/>
      <c r="N4323" s="3"/>
      <c r="Q4323" s="3"/>
      <c r="R4323" s="3"/>
      <c r="S4323" s="3"/>
      <c r="V4323" s="3"/>
      <c r="W4323" s="3"/>
      <c r="X4323" s="3"/>
      <c r="Y4323" s="3"/>
      <c r="Z4323" s="3"/>
      <c r="AA4323" s="3"/>
      <c r="AB4323" s="3"/>
    </row>
    <row r="4324" spans="1:28" x14ac:dyDescent="0.3">
      <c r="A4324" s="2"/>
      <c r="F4324" s="3"/>
      <c r="G4324" s="3"/>
      <c r="N4324" s="3"/>
      <c r="Q4324" s="3"/>
      <c r="R4324" s="3"/>
      <c r="S4324" s="3"/>
      <c r="V4324" s="3"/>
      <c r="W4324" s="3"/>
      <c r="X4324" s="3"/>
      <c r="Y4324" s="3"/>
      <c r="Z4324" s="3"/>
      <c r="AA4324" s="3"/>
      <c r="AB4324" s="3"/>
    </row>
    <row r="4325" spans="1:28" x14ac:dyDescent="0.3">
      <c r="A4325" s="2"/>
      <c r="F4325" s="3"/>
      <c r="G4325" s="3"/>
      <c r="N4325" s="3"/>
      <c r="Q4325" s="3"/>
      <c r="R4325" s="3"/>
      <c r="S4325" s="3"/>
      <c r="V4325" s="3"/>
      <c r="W4325" s="3"/>
      <c r="X4325" s="3"/>
      <c r="Y4325" s="3"/>
      <c r="Z4325" s="3"/>
      <c r="AA4325" s="3"/>
      <c r="AB4325" s="3"/>
    </row>
    <row r="4326" spans="1:28" x14ac:dyDescent="0.3">
      <c r="A4326" s="2"/>
      <c r="F4326" s="3"/>
      <c r="G4326" s="3"/>
      <c r="N4326" s="3"/>
      <c r="Q4326" s="3"/>
      <c r="R4326" s="3"/>
      <c r="S4326" s="3"/>
      <c r="V4326" s="3"/>
      <c r="W4326" s="3"/>
      <c r="X4326" s="3"/>
      <c r="Y4326" s="3"/>
      <c r="Z4326" s="3"/>
      <c r="AA4326" s="3"/>
      <c r="AB4326" s="3"/>
    </row>
    <row r="4327" spans="1:28" x14ac:dyDescent="0.3">
      <c r="A4327" s="2"/>
      <c r="F4327" s="3"/>
      <c r="G4327" s="3"/>
      <c r="N4327" s="3"/>
      <c r="Q4327" s="3"/>
      <c r="R4327" s="3"/>
      <c r="S4327" s="3"/>
      <c r="V4327" s="3"/>
      <c r="W4327" s="3"/>
      <c r="X4327" s="3"/>
      <c r="Y4327" s="3"/>
      <c r="Z4327" s="3"/>
      <c r="AA4327" s="3"/>
      <c r="AB4327" s="3"/>
    </row>
    <row r="4328" spans="1:28" x14ac:dyDescent="0.3">
      <c r="A4328" s="2"/>
      <c r="F4328" s="3"/>
      <c r="G4328" s="3"/>
      <c r="N4328" s="3"/>
      <c r="Q4328" s="3"/>
      <c r="R4328" s="3"/>
      <c r="S4328" s="3"/>
      <c r="V4328" s="3"/>
      <c r="W4328" s="3"/>
      <c r="X4328" s="3"/>
      <c r="Y4328" s="3"/>
      <c r="Z4328" s="3"/>
      <c r="AA4328" s="3"/>
      <c r="AB4328" s="3"/>
    </row>
    <row r="4329" spans="1:28" x14ac:dyDescent="0.3">
      <c r="A4329" s="2"/>
      <c r="F4329" s="3"/>
      <c r="G4329" s="3"/>
      <c r="N4329" s="3"/>
      <c r="Q4329" s="3"/>
      <c r="R4329" s="3"/>
      <c r="S4329" s="3"/>
      <c r="V4329" s="3"/>
      <c r="W4329" s="3"/>
      <c r="X4329" s="3"/>
      <c r="Y4329" s="3"/>
      <c r="Z4329" s="3"/>
      <c r="AA4329" s="3"/>
      <c r="AB4329" s="3"/>
    </row>
    <row r="4330" spans="1:28" x14ac:dyDescent="0.3">
      <c r="A4330" s="2"/>
      <c r="F4330" s="3"/>
      <c r="G4330" s="3"/>
      <c r="N4330" s="3"/>
      <c r="Q4330" s="3"/>
      <c r="R4330" s="3"/>
      <c r="S4330" s="3"/>
      <c r="V4330" s="3"/>
      <c r="W4330" s="3"/>
      <c r="X4330" s="3"/>
      <c r="Y4330" s="3"/>
      <c r="Z4330" s="3"/>
      <c r="AA4330" s="3"/>
      <c r="AB4330" s="3"/>
    </row>
    <row r="4331" spans="1:28" x14ac:dyDescent="0.3">
      <c r="A4331" s="2"/>
      <c r="F4331" s="3"/>
      <c r="G4331" s="3"/>
      <c r="N4331" s="3"/>
      <c r="Q4331" s="3"/>
      <c r="R4331" s="3"/>
      <c r="S4331" s="3"/>
      <c r="V4331" s="3"/>
      <c r="W4331" s="3"/>
      <c r="X4331" s="3"/>
      <c r="Y4331" s="3"/>
      <c r="Z4331" s="3"/>
      <c r="AA4331" s="3"/>
      <c r="AB4331" s="3"/>
    </row>
    <row r="4332" spans="1:28" x14ac:dyDescent="0.3">
      <c r="A4332" s="2"/>
      <c r="F4332" s="3"/>
      <c r="G4332" s="3"/>
      <c r="N4332" s="3"/>
      <c r="Q4332" s="3"/>
      <c r="R4332" s="3"/>
      <c r="S4332" s="3"/>
      <c r="V4332" s="3"/>
      <c r="W4332" s="3"/>
      <c r="X4332" s="3"/>
      <c r="Y4332" s="3"/>
      <c r="Z4332" s="3"/>
      <c r="AA4332" s="3"/>
      <c r="AB4332" s="3"/>
    </row>
    <row r="4333" spans="1:28" x14ac:dyDescent="0.3">
      <c r="A4333" s="2"/>
      <c r="F4333" s="3"/>
      <c r="G4333" s="3"/>
      <c r="N4333" s="3"/>
      <c r="Q4333" s="3"/>
      <c r="R4333" s="3"/>
      <c r="S4333" s="3"/>
      <c r="V4333" s="3"/>
      <c r="W4333" s="3"/>
      <c r="X4333" s="3"/>
      <c r="Y4333" s="3"/>
      <c r="Z4333" s="3"/>
      <c r="AA4333" s="3"/>
      <c r="AB4333" s="3"/>
    </row>
    <row r="4334" spans="1:28" x14ac:dyDescent="0.3">
      <c r="A4334" s="2"/>
      <c r="F4334" s="3"/>
      <c r="G4334" s="3"/>
      <c r="N4334" s="3"/>
      <c r="Q4334" s="3"/>
      <c r="R4334" s="3"/>
      <c r="S4334" s="3"/>
      <c r="V4334" s="3"/>
      <c r="W4334" s="3"/>
      <c r="X4334" s="3"/>
      <c r="Y4334" s="3"/>
      <c r="Z4334" s="3"/>
      <c r="AA4334" s="3"/>
      <c r="AB4334" s="3"/>
    </row>
    <row r="4335" spans="1:28" x14ac:dyDescent="0.3">
      <c r="A4335" s="2"/>
      <c r="F4335" s="3"/>
      <c r="G4335" s="3"/>
      <c r="N4335" s="3"/>
      <c r="Q4335" s="3"/>
      <c r="R4335" s="3"/>
      <c r="S4335" s="3"/>
      <c r="V4335" s="3"/>
      <c r="W4335" s="3"/>
      <c r="X4335" s="3"/>
      <c r="Y4335" s="3"/>
      <c r="Z4335" s="3"/>
      <c r="AA4335" s="3"/>
      <c r="AB4335" s="3"/>
    </row>
    <row r="4336" spans="1:28" x14ac:dyDescent="0.3">
      <c r="A4336" s="2"/>
      <c r="F4336" s="3"/>
      <c r="G4336" s="3"/>
      <c r="N4336" s="3"/>
      <c r="Q4336" s="3"/>
      <c r="R4336" s="3"/>
      <c r="S4336" s="3"/>
      <c r="V4336" s="3"/>
      <c r="W4336" s="3"/>
      <c r="X4336" s="3"/>
      <c r="Y4336" s="3"/>
      <c r="Z4336" s="3"/>
      <c r="AA4336" s="3"/>
      <c r="AB4336" s="3"/>
    </row>
    <row r="4337" spans="1:28" x14ac:dyDescent="0.3">
      <c r="A4337" s="2"/>
      <c r="F4337" s="3"/>
      <c r="G4337" s="3"/>
      <c r="N4337" s="3"/>
      <c r="Q4337" s="3"/>
      <c r="R4337" s="3"/>
      <c r="S4337" s="3"/>
      <c r="V4337" s="3"/>
      <c r="W4337" s="3"/>
      <c r="X4337" s="3"/>
      <c r="Y4337" s="3"/>
      <c r="Z4337" s="3"/>
      <c r="AA4337" s="3"/>
      <c r="AB4337" s="3"/>
    </row>
    <row r="4338" spans="1:28" x14ac:dyDescent="0.3">
      <c r="A4338" s="2"/>
      <c r="F4338" s="3"/>
      <c r="G4338" s="3"/>
      <c r="N4338" s="3"/>
      <c r="Q4338" s="3"/>
      <c r="R4338" s="3"/>
      <c r="S4338" s="3"/>
      <c r="V4338" s="3"/>
      <c r="W4338" s="3"/>
      <c r="X4338" s="3"/>
      <c r="Y4338" s="3"/>
      <c r="Z4338" s="3"/>
      <c r="AA4338" s="3"/>
      <c r="AB4338" s="3"/>
    </row>
    <row r="4339" spans="1:28" x14ac:dyDescent="0.3">
      <c r="A4339" s="2"/>
      <c r="F4339" s="3"/>
      <c r="G4339" s="3"/>
      <c r="N4339" s="3"/>
      <c r="Q4339" s="3"/>
      <c r="R4339" s="3"/>
      <c r="S4339" s="3"/>
      <c r="V4339" s="3"/>
      <c r="W4339" s="3"/>
      <c r="X4339" s="3"/>
      <c r="Y4339" s="3"/>
      <c r="Z4339" s="3"/>
      <c r="AA4339" s="3"/>
      <c r="AB4339" s="3"/>
    </row>
    <row r="4340" spans="1:28" x14ac:dyDescent="0.3">
      <c r="A4340" s="2"/>
      <c r="F4340" s="3"/>
      <c r="G4340" s="3"/>
      <c r="N4340" s="3"/>
      <c r="Q4340" s="3"/>
      <c r="R4340" s="3"/>
      <c r="S4340" s="3"/>
      <c r="V4340" s="3"/>
      <c r="W4340" s="3"/>
      <c r="X4340" s="3"/>
      <c r="Y4340" s="3"/>
      <c r="Z4340" s="3"/>
      <c r="AA4340" s="3"/>
      <c r="AB4340" s="3"/>
    </row>
    <row r="4341" spans="1:28" x14ac:dyDescent="0.3">
      <c r="A4341" s="2"/>
      <c r="F4341" s="3"/>
      <c r="G4341" s="3"/>
      <c r="N4341" s="3"/>
      <c r="Q4341" s="3"/>
      <c r="R4341" s="3"/>
      <c r="S4341" s="3"/>
      <c r="V4341" s="3"/>
      <c r="W4341" s="3"/>
      <c r="X4341" s="3"/>
      <c r="Y4341" s="3"/>
      <c r="Z4341" s="3"/>
      <c r="AA4341" s="3"/>
      <c r="AB4341" s="3"/>
    </row>
    <row r="4342" spans="1:28" x14ac:dyDescent="0.3">
      <c r="A4342" s="2"/>
      <c r="F4342" s="3"/>
      <c r="G4342" s="3"/>
      <c r="N4342" s="3"/>
      <c r="Q4342" s="3"/>
      <c r="R4342" s="3"/>
      <c r="S4342" s="3"/>
      <c r="V4342" s="3"/>
      <c r="W4342" s="3"/>
      <c r="X4342" s="3"/>
      <c r="Y4342" s="3"/>
      <c r="Z4342" s="3"/>
      <c r="AA4342" s="3"/>
      <c r="AB4342" s="3"/>
    </row>
    <row r="4343" spans="1:28" x14ac:dyDescent="0.3">
      <c r="A4343" s="2"/>
      <c r="F4343" s="3"/>
      <c r="G4343" s="3"/>
      <c r="N4343" s="3"/>
      <c r="Q4343" s="3"/>
      <c r="R4343" s="3"/>
      <c r="S4343" s="3"/>
      <c r="V4343" s="3"/>
      <c r="W4343" s="3"/>
      <c r="X4343" s="3"/>
      <c r="Y4343" s="3"/>
      <c r="Z4343" s="3"/>
      <c r="AA4343" s="3"/>
      <c r="AB4343" s="3"/>
    </row>
    <row r="4344" spans="1:28" x14ac:dyDescent="0.3">
      <c r="A4344" s="2"/>
      <c r="F4344" s="3"/>
      <c r="G4344" s="3"/>
      <c r="N4344" s="3"/>
      <c r="Q4344" s="3"/>
      <c r="R4344" s="3"/>
      <c r="S4344" s="3"/>
      <c r="V4344" s="3"/>
      <c r="W4344" s="3"/>
      <c r="X4344" s="3"/>
      <c r="Y4344" s="3"/>
      <c r="Z4344" s="3"/>
      <c r="AA4344" s="3"/>
      <c r="AB4344" s="3"/>
    </row>
    <row r="4345" spans="1:28" x14ac:dyDescent="0.3">
      <c r="A4345" s="2"/>
      <c r="F4345" s="3"/>
      <c r="G4345" s="3"/>
      <c r="N4345" s="3"/>
      <c r="Q4345" s="3"/>
      <c r="R4345" s="3"/>
      <c r="S4345" s="3"/>
      <c r="V4345" s="3"/>
      <c r="W4345" s="3"/>
      <c r="X4345" s="3"/>
      <c r="Y4345" s="3"/>
      <c r="Z4345" s="3"/>
      <c r="AA4345" s="3"/>
      <c r="AB4345" s="3"/>
    </row>
    <row r="4346" spans="1:28" x14ac:dyDescent="0.3">
      <c r="A4346" s="2"/>
      <c r="F4346" s="3"/>
      <c r="G4346" s="3"/>
      <c r="N4346" s="3"/>
      <c r="Q4346" s="3"/>
      <c r="R4346" s="3"/>
      <c r="S4346" s="3"/>
      <c r="V4346" s="3"/>
      <c r="W4346" s="3"/>
      <c r="X4346" s="3"/>
      <c r="Y4346" s="3"/>
      <c r="Z4346" s="3"/>
      <c r="AA4346" s="3"/>
      <c r="AB4346" s="3"/>
    </row>
    <row r="4347" spans="1:28" x14ac:dyDescent="0.3">
      <c r="A4347" s="2"/>
      <c r="F4347" s="3"/>
      <c r="G4347" s="3"/>
      <c r="N4347" s="3"/>
      <c r="Q4347" s="3"/>
      <c r="R4347" s="3"/>
      <c r="S4347" s="3"/>
      <c r="V4347" s="3"/>
      <c r="W4347" s="3"/>
      <c r="X4347" s="3"/>
      <c r="Y4347" s="3"/>
      <c r="Z4347" s="3"/>
      <c r="AA4347" s="3"/>
      <c r="AB4347" s="3"/>
    </row>
    <row r="4348" spans="1:28" x14ac:dyDescent="0.3">
      <c r="A4348" s="2"/>
      <c r="F4348" s="3"/>
      <c r="G4348" s="3"/>
      <c r="N4348" s="3"/>
      <c r="Q4348" s="3"/>
      <c r="R4348" s="3"/>
      <c r="S4348" s="3"/>
      <c r="V4348" s="3"/>
      <c r="W4348" s="3"/>
      <c r="X4348" s="3"/>
      <c r="Y4348" s="3"/>
      <c r="Z4348" s="3"/>
      <c r="AA4348" s="3"/>
      <c r="AB4348" s="3"/>
    </row>
    <row r="4349" spans="1:28" x14ac:dyDescent="0.3">
      <c r="A4349" s="2"/>
      <c r="F4349" s="3"/>
      <c r="G4349" s="3"/>
      <c r="N4349" s="3"/>
      <c r="Q4349" s="3"/>
      <c r="R4349" s="3"/>
      <c r="S4349" s="3"/>
      <c r="V4349" s="3"/>
      <c r="W4349" s="3"/>
      <c r="X4349" s="3"/>
      <c r="Y4349" s="3"/>
      <c r="Z4349" s="3"/>
      <c r="AA4349" s="3"/>
      <c r="AB4349" s="3"/>
    </row>
    <row r="4350" spans="1:28" x14ac:dyDescent="0.3">
      <c r="A4350" s="2"/>
      <c r="F4350" s="3"/>
      <c r="G4350" s="3"/>
      <c r="N4350" s="3"/>
      <c r="Q4350" s="3"/>
      <c r="R4350" s="3"/>
      <c r="S4350" s="3"/>
      <c r="V4350" s="3"/>
      <c r="W4350" s="3"/>
      <c r="X4350" s="3"/>
      <c r="Y4350" s="3"/>
      <c r="Z4350" s="3"/>
      <c r="AA4350" s="3"/>
      <c r="AB4350" s="3"/>
    </row>
    <row r="4351" spans="1:28" x14ac:dyDescent="0.3">
      <c r="A4351" s="2"/>
      <c r="F4351" s="3"/>
      <c r="G4351" s="3"/>
      <c r="N4351" s="3"/>
      <c r="Q4351" s="3"/>
      <c r="R4351" s="3"/>
      <c r="S4351" s="3"/>
      <c r="V4351" s="3"/>
      <c r="W4351" s="3"/>
      <c r="X4351" s="3"/>
      <c r="Y4351" s="3"/>
      <c r="Z4351" s="3"/>
      <c r="AA4351" s="3"/>
      <c r="AB4351" s="3"/>
    </row>
    <row r="4352" spans="1:28" x14ac:dyDescent="0.3">
      <c r="A4352" s="2"/>
      <c r="F4352" s="3"/>
      <c r="G4352" s="3"/>
      <c r="N4352" s="3"/>
      <c r="Q4352" s="3"/>
      <c r="R4352" s="3"/>
      <c r="S4352" s="3"/>
      <c r="V4352" s="3"/>
      <c r="W4352" s="3"/>
      <c r="X4352" s="3"/>
      <c r="Y4352" s="3"/>
      <c r="Z4352" s="3"/>
      <c r="AA4352" s="3"/>
      <c r="AB4352" s="3"/>
    </row>
    <row r="4353" spans="1:28" x14ac:dyDescent="0.3">
      <c r="A4353" s="2"/>
      <c r="F4353" s="3"/>
      <c r="G4353" s="3"/>
      <c r="N4353" s="3"/>
      <c r="Q4353" s="3"/>
      <c r="R4353" s="3"/>
      <c r="S4353" s="3"/>
      <c r="V4353" s="3"/>
      <c r="W4353" s="3"/>
      <c r="X4353" s="3"/>
      <c r="Y4353" s="3"/>
      <c r="Z4353" s="3"/>
      <c r="AA4353" s="3"/>
      <c r="AB4353" s="3"/>
    </row>
    <row r="4354" spans="1:28" x14ac:dyDescent="0.3">
      <c r="A4354" s="2"/>
      <c r="F4354" s="3"/>
      <c r="G4354" s="3"/>
      <c r="N4354" s="3"/>
      <c r="Q4354" s="3"/>
      <c r="R4354" s="3"/>
      <c r="S4354" s="3"/>
      <c r="V4354" s="3"/>
      <c r="W4354" s="3"/>
      <c r="X4354" s="3"/>
      <c r="Y4354" s="3"/>
      <c r="Z4354" s="3"/>
      <c r="AA4354" s="3"/>
      <c r="AB4354" s="3"/>
    </row>
    <row r="4355" spans="1:28" x14ac:dyDescent="0.3">
      <c r="A4355" s="2"/>
      <c r="F4355" s="3"/>
      <c r="G4355" s="3"/>
      <c r="N4355" s="3"/>
      <c r="Q4355" s="3"/>
      <c r="R4355" s="3"/>
      <c r="S4355" s="3"/>
      <c r="V4355" s="3"/>
      <c r="W4355" s="3"/>
      <c r="X4355" s="3"/>
      <c r="Y4355" s="3"/>
      <c r="Z4355" s="3"/>
      <c r="AA4355" s="3"/>
      <c r="AB4355" s="3"/>
    </row>
    <row r="4356" spans="1:28" x14ac:dyDescent="0.3">
      <c r="A4356" s="2"/>
      <c r="F4356" s="3"/>
      <c r="G4356" s="3"/>
      <c r="N4356" s="3"/>
      <c r="Q4356" s="3"/>
      <c r="R4356" s="3"/>
      <c r="S4356" s="3"/>
      <c r="V4356" s="3"/>
      <c r="W4356" s="3"/>
      <c r="X4356" s="3"/>
      <c r="Y4356" s="3"/>
      <c r="Z4356" s="3"/>
      <c r="AA4356" s="3"/>
      <c r="AB4356" s="3"/>
    </row>
    <row r="4357" spans="1:28" x14ac:dyDescent="0.3">
      <c r="A4357" s="2"/>
      <c r="F4357" s="3"/>
      <c r="G4357" s="3"/>
      <c r="N4357" s="3"/>
      <c r="Q4357" s="3"/>
      <c r="R4357" s="3"/>
      <c r="S4357" s="3"/>
      <c r="V4357" s="3"/>
      <c r="W4357" s="3"/>
      <c r="X4357" s="3"/>
      <c r="Y4357" s="3"/>
      <c r="Z4357" s="3"/>
      <c r="AA4357" s="3"/>
      <c r="AB4357" s="3"/>
    </row>
    <row r="4358" spans="1:28" x14ac:dyDescent="0.3">
      <c r="A4358" s="2"/>
      <c r="F4358" s="3"/>
      <c r="G4358" s="3"/>
      <c r="N4358" s="3"/>
      <c r="Q4358" s="3"/>
      <c r="R4358" s="3"/>
      <c r="S4358" s="3"/>
      <c r="V4358" s="3"/>
      <c r="W4358" s="3"/>
      <c r="X4358" s="3"/>
      <c r="Y4358" s="3"/>
      <c r="Z4358" s="3"/>
      <c r="AA4358" s="3"/>
      <c r="AB4358" s="3"/>
    </row>
    <row r="4359" spans="1:28" x14ac:dyDescent="0.3">
      <c r="A4359" s="2"/>
      <c r="F4359" s="3"/>
      <c r="G4359" s="3"/>
      <c r="N4359" s="3"/>
      <c r="Q4359" s="3"/>
      <c r="R4359" s="3"/>
      <c r="S4359" s="3"/>
      <c r="V4359" s="3"/>
      <c r="W4359" s="3"/>
      <c r="X4359" s="3"/>
      <c r="Y4359" s="3"/>
      <c r="Z4359" s="3"/>
      <c r="AA4359" s="3"/>
      <c r="AB4359" s="3"/>
    </row>
    <row r="4360" spans="1:28" x14ac:dyDescent="0.3">
      <c r="A4360" s="2"/>
      <c r="F4360" s="3"/>
      <c r="G4360" s="3"/>
      <c r="N4360" s="3"/>
      <c r="Q4360" s="3"/>
      <c r="R4360" s="3"/>
      <c r="S4360" s="3"/>
      <c r="V4360" s="3"/>
      <c r="W4360" s="3"/>
      <c r="X4360" s="3"/>
      <c r="Y4360" s="3"/>
      <c r="Z4360" s="3"/>
      <c r="AA4360" s="3"/>
      <c r="AB4360" s="3"/>
    </row>
    <row r="4361" spans="1:28" x14ac:dyDescent="0.3">
      <c r="A4361" s="2"/>
      <c r="F4361" s="3"/>
      <c r="G4361" s="3"/>
      <c r="N4361" s="3"/>
      <c r="Q4361" s="3"/>
      <c r="R4361" s="3"/>
      <c r="S4361" s="3"/>
      <c r="V4361" s="3"/>
      <c r="W4361" s="3"/>
      <c r="X4361" s="3"/>
      <c r="Y4361" s="3"/>
      <c r="Z4361" s="3"/>
      <c r="AA4361" s="3"/>
      <c r="AB4361" s="3"/>
    </row>
    <row r="4362" spans="1:28" x14ac:dyDescent="0.3">
      <c r="A4362" s="2"/>
      <c r="F4362" s="3"/>
      <c r="G4362" s="3"/>
      <c r="N4362" s="3"/>
      <c r="Q4362" s="3"/>
      <c r="R4362" s="3"/>
      <c r="S4362" s="3"/>
      <c r="V4362" s="3"/>
      <c r="W4362" s="3"/>
      <c r="X4362" s="3"/>
      <c r="Y4362" s="3"/>
      <c r="Z4362" s="3"/>
      <c r="AA4362" s="3"/>
      <c r="AB4362" s="3"/>
    </row>
    <row r="4363" spans="1:28" x14ac:dyDescent="0.3">
      <c r="A4363" s="2"/>
      <c r="F4363" s="3"/>
      <c r="G4363" s="3"/>
      <c r="N4363" s="3"/>
      <c r="Q4363" s="3"/>
      <c r="R4363" s="3"/>
      <c r="S4363" s="3"/>
      <c r="V4363" s="3"/>
      <c r="W4363" s="3"/>
      <c r="X4363" s="3"/>
      <c r="Y4363" s="3"/>
      <c r="Z4363" s="3"/>
      <c r="AA4363" s="3"/>
      <c r="AB4363" s="3"/>
    </row>
    <row r="4364" spans="1:28" x14ac:dyDescent="0.3">
      <c r="A4364" s="2"/>
      <c r="F4364" s="3"/>
      <c r="G4364" s="3"/>
      <c r="N4364" s="3"/>
      <c r="Q4364" s="3"/>
      <c r="R4364" s="3"/>
      <c r="S4364" s="3"/>
      <c r="V4364" s="3"/>
      <c r="W4364" s="3"/>
      <c r="X4364" s="3"/>
      <c r="Y4364" s="3"/>
      <c r="Z4364" s="3"/>
      <c r="AA4364" s="3"/>
      <c r="AB4364" s="3"/>
    </row>
    <row r="4365" spans="1:28" x14ac:dyDescent="0.3">
      <c r="A4365" s="2"/>
      <c r="F4365" s="3"/>
      <c r="G4365" s="3"/>
      <c r="N4365" s="3"/>
      <c r="Q4365" s="3"/>
      <c r="R4365" s="3"/>
      <c r="S4365" s="3"/>
      <c r="V4365" s="3"/>
      <c r="W4365" s="3"/>
      <c r="X4365" s="3"/>
      <c r="Y4365" s="3"/>
      <c r="Z4365" s="3"/>
      <c r="AA4365" s="3"/>
      <c r="AB4365" s="3"/>
    </row>
    <row r="4366" spans="1:28" x14ac:dyDescent="0.3">
      <c r="A4366" s="2"/>
      <c r="F4366" s="3"/>
      <c r="G4366" s="3"/>
      <c r="N4366" s="3"/>
      <c r="Q4366" s="3"/>
      <c r="R4366" s="3"/>
      <c r="S4366" s="3"/>
      <c r="V4366" s="3"/>
      <c r="W4366" s="3"/>
      <c r="X4366" s="3"/>
      <c r="Y4366" s="3"/>
      <c r="Z4366" s="3"/>
      <c r="AA4366" s="3"/>
      <c r="AB4366" s="3"/>
    </row>
    <row r="4367" spans="1:28" x14ac:dyDescent="0.3">
      <c r="A4367" s="2"/>
      <c r="F4367" s="3"/>
      <c r="G4367" s="3"/>
      <c r="N4367" s="3"/>
      <c r="Q4367" s="3"/>
      <c r="R4367" s="3"/>
      <c r="S4367" s="3"/>
      <c r="V4367" s="3"/>
      <c r="W4367" s="3"/>
      <c r="X4367" s="3"/>
      <c r="Y4367" s="3"/>
      <c r="Z4367" s="3"/>
      <c r="AA4367" s="3"/>
      <c r="AB4367" s="3"/>
    </row>
    <row r="4368" spans="1:28" x14ac:dyDescent="0.3">
      <c r="A4368" s="2"/>
      <c r="F4368" s="3"/>
      <c r="G4368" s="3"/>
      <c r="N4368" s="3"/>
      <c r="Q4368" s="3"/>
      <c r="R4368" s="3"/>
      <c r="S4368" s="3"/>
      <c r="V4368" s="3"/>
      <c r="W4368" s="3"/>
      <c r="X4368" s="3"/>
      <c r="Y4368" s="3"/>
      <c r="Z4368" s="3"/>
      <c r="AA4368" s="3"/>
      <c r="AB4368" s="3"/>
    </row>
    <row r="4369" spans="1:28" x14ac:dyDescent="0.3">
      <c r="A4369" s="2"/>
      <c r="F4369" s="3"/>
      <c r="G4369" s="3"/>
      <c r="N4369" s="3"/>
      <c r="Q4369" s="3"/>
      <c r="R4369" s="3"/>
      <c r="S4369" s="3"/>
      <c r="V4369" s="3"/>
      <c r="W4369" s="3"/>
      <c r="X4369" s="3"/>
      <c r="Y4369" s="3"/>
      <c r="Z4369" s="3"/>
      <c r="AA4369" s="3"/>
      <c r="AB4369" s="3"/>
    </row>
    <row r="4370" spans="1:28" x14ac:dyDescent="0.3">
      <c r="A4370" s="2"/>
      <c r="F4370" s="3"/>
      <c r="G4370" s="3"/>
      <c r="N4370" s="3"/>
      <c r="Q4370" s="3"/>
      <c r="R4370" s="3"/>
      <c r="S4370" s="3"/>
      <c r="V4370" s="3"/>
      <c r="W4370" s="3"/>
      <c r="X4370" s="3"/>
      <c r="Y4370" s="3"/>
      <c r="Z4370" s="3"/>
      <c r="AA4370" s="3"/>
      <c r="AB4370" s="3"/>
    </row>
    <row r="4371" spans="1:28" x14ac:dyDescent="0.3">
      <c r="A4371" s="2"/>
      <c r="F4371" s="3"/>
      <c r="G4371" s="3"/>
      <c r="N4371" s="3"/>
      <c r="Q4371" s="3"/>
      <c r="R4371" s="3"/>
      <c r="S4371" s="3"/>
      <c r="V4371" s="3"/>
      <c r="W4371" s="3"/>
      <c r="X4371" s="3"/>
      <c r="Y4371" s="3"/>
      <c r="Z4371" s="3"/>
      <c r="AA4371" s="3"/>
      <c r="AB4371" s="3"/>
    </row>
    <row r="4372" spans="1:28" x14ac:dyDescent="0.3">
      <c r="A4372" s="2"/>
      <c r="F4372" s="3"/>
      <c r="G4372" s="3"/>
      <c r="N4372" s="3"/>
      <c r="Q4372" s="3"/>
      <c r="R4372" s="3"/>
      <c r="S4372" s="3"/>
      <c r="V4372" s="3"/>
      <c r="W4372" s="3"/>
      <c r="X4372" s="3"/>
      <c r="Y4372" s="3"/>
      <c r="Z4372" s="3"/>
      <c r="AA4372" s="3"/>
      <c r="AB4372" s="3"/>
    </row>
    <row r="4373" spans="1:28" x14ac:dyDescent="0.3">
      <c r="A4373" s="2"/>
      <c r="F4373" s="3"/>
      <c r="G4373" s="3"/>
      <c r="N4373" s="3"/>
      <c r="Q4373" s="3"/>
      <c r="R4373" s="3"/>
      <c r="S4373" s="3"/>
      <c r="V4373" s="3"/>
      <c r="W4373" s="3"/>
      <c r="X4373" s="3"/>
      <c r="Y4373" s="3"/>
      <c r="Z4373" s="3"/>
      <c r="AA4373" s="3"/>
      <c r="AB4373" s="3"/>
    </row>
    <row r="4374" spans="1:28" x14ac:dyDescent="0.3">
      <c r="A4374" s="2"/>
      <c r="F4374" s="3"/>
      <c r="G4374" s="3"/>
      <c r="N4374" s="3"/>
      <c r="Q4374" s="3"/>
      <c r="R4374" s="3"/>
      <c r="S4374" s="3"/>
      <c r="V4374" s="3"/>
      <c r="W4374" s="3"/>
      <c r="X4374" s="3"/>
      <c r="Y4374" s="3"/>
      <c r="Z4374" s="3"/>
      <c r="AA4374" s="3"/>
      <c r="AB4374" s="3"/>
    </row>
    <row r="4375" spans="1:28" x14ac:dyDescent="0.3">
      <c r="A4375" s="2"/>
      <c r="F4375" s="3"/>
      <c r="G4375" s="3"/>
      <c r="N4375" s="3"/>
      <c r="Q4375" s="3"/>
      <c r="R4375" s="3"/>
      <c r="S4375" s="3"/>
      <c r="V4375" s="3"/>
      <c r="W4375" s="3"/>
      <c r="X4375" s="3"/>
      <c r="Y4375" s="3"/>
      <c r="Z4375" s="3"/>
      <c r="AA4375" s="3"/>
      <c r="AB4375" s="3"/>
    </row>
    <row r="4376" spans="1:28" x14ac:dyDescent="0.3">
      <c r="A4376" s="2"/>
      <c r="F4376" s="3"/>
      <c r="G4376" s="3"/>
      <c r="N4376" s="3"/>
      <c r="Q4376" s="3"/>
      <c r="R4376" s="3"/>
      <c r="S4376" s="3"/>
      <c r="V4376" s="3"/>
      <c r="W4376" s="3"/>
      <c r="X4376" s="3"/>
      <c r="Y4376" s="3"/>
      <c r="Z4376" s="3"/>
      <c r="AA4376" s="3"/>
      <c r="AB4376" s="3"/>
    </row>
    <row r="4377" spans="1:28" x14ac:dyDescent="0.3">
      <c r="A4377" s="2"/>
      <c r="F4377" s="3"/>
      <c r="G4377" s="3"/>
      <c r="N4377" s="3"/>
      <c r="Q4377" s="3"/>
      <c r="R4377" s="3"/>
      <c r="S4377" s="3"/>
      <c r="V4377" s="3"/>
      <c r="W4377" s="3"/>
      <c r="X4377" s="3"/>
      <c r="Y4377" s="3"/>
      <c r="Z4377" s="3"/>
      <c r="AA4377" s="3"/>
      <c r="AB4377" s="3"/>
    </row>
    <row r="4378" spans="1:28" x14ac:dyDescent="0.3">
      <c r="A4378" s="2"/>
      <c r="F4378" s="3"/>
      <c r="G4378" s="3"/>
      <c r="N4378" s="3"/>
      <c r="Q4378" s="3"/>
      <c r="R4378" s="3"/>
      <c r="S4378" s="3"/>
      <c r="V4378" s="3"/>
      <c r="W4378" s="3"/>
      <c r="X4378" s="3"/>
      <c r="Y4378" s="3"/>
      <c r="Z4378" s="3"/>
      <c r="AA4378" s="3"/>
      <c r="AB4378" s="3"/>
    </row>
    <row r="4379" spans="1:28" x14ac:dyDescent="0.3">
      <c r="A4379" s="2"/>
      <c r="F4379" s="3"/>
      <c r="G4379" s="3"/>
      <c r="N4379" s="3"/>
      <c r="Q4379" s="3"/>
      <c r="R4379" s="3"/>
      <c r="S4379" s="3"/>
      <c r="V4379" s="3"/>
      <c r="W4379" s="3"/>
      <c r="X4379" s="3"/>
      <c r="Y4379" s="3"/>
      <c r="Z4379" s="3"/>
      <c r="AA4379" s="3"/>
      <c r="AB4379" s="3"/>
    </row>
    <row r="4380" spans="1:28" x14ac:dyDescent="0.3">
      <c r="A4380" s="2"/>
      <c r="F4380" s="3"/>
      <c r="G4380" s="3"/>
      <c r="N4380" s="3"/>
      <c r="Q4380" s="3"/>
      <c r="R4380" s="3"/>
      <c r="S4380" s="3"/>
      <c r="V4380" s="3"/>
      <c r="W4380" s="3"/>
      <c r="X4380" s="3"/>
      <c r="Y4380" s="3"/>
      <c r="Z4380" s="3"/>
      <c r="AA4380" s="3"/>
      <c r="AB4380" s="3"/>
    </row>
    <row r="4381" spans="1:28" x14ac:dyDescent="0.3">
      <c r="A4381" s="2"/>
      <c r="F4381" s="3"/>
      <c r="G4381" s="3"/>
      <c r="N4381" s="3"/>
      <c r="Q4381" s="3"/>
      <c r="R4381" s="3"/>
      <c r="S4381" s="3"/>
      <c r="V4381" s="3"/>
      <c r="W4381" s="3"/>
      <c r="X4381" s="3"/>
      <c r="Y4381" s="3"/>
      <c r="Z4381" s="3"/>
      <c r="AA4381" s="3"/>
      <c r="AB4381" s="3"/>
    </row>
    <row r="4382" spans="1:28" x14ac:dyDescent="0.3">
      <c r="A4382" s="2"/>
      <c r="F4382" s="3"/>
      <c r="G4382" s="3"/>
      <c r="N4382" s="3"/>
      <c r="Q4382" s="3"/>
      <c r="R4382" s="3"/>
      <c r="S4382" s="3"/>
      <c r="V4382" s="3"/>
      <c r="W4382" s="3"/>
      <c r="X4382" s="3"/>
      <c r="Y4382" s="3"/>
      <c r="Z4382" s="3"/>
      <c r="AA4382" s="3"/>
      <c r="AB4382" s="3"/>
    </row>
    <row r="4383" spans="1:28" x14ac:dyDescent="0.3">
      <c r="A4383" s="2"/>
      <c r="F4383" s="3"/>
      <c r="G4383" s="3"/>
      <c r="N4383" s="3"/>
      <c r="Q4383" s="3"/>
      <c r="R4383" s="3"/>
      <c r="S4383" s="3"/>
      <c r="V4383" s="3"/>
      <c r="W4383" s="3"/>
      <c r="X4383" s="3"/>
      <c r="Y4383" s="3"/>
      <c r="Z4383" s="3"/>
      <c r="AA4383" s="3"/>
      <c r="AB4383" s="3"/>
    </row>
    <row r="4384" spans="1:28" x14ac:dyDescent="0.3">
      <c r="A4384" s="2"/>
      <c r="F4384" s="3"/>
      <c r="G4384" s="3"/>
      <c r="N4384" s="3"/>
      <c r="Q4384" s="3"/>
      <c r="R4384" s="3"/>
      <c r="S4384" s="3"/>
      <c r="V4384" s="3"/>
      <c r="W4384" s="3"/>
      <c r="X4384" s="3"/>
      <c r="Y4384" s="3"/>
      <c r="Z4384" s="3"/>
      <c r="AA4384" s="3"/>
      <c r="AB4384" s="3"/>
    </row>
    <row r="4385" spans="1:28" x14ac:dyDescent="0.3">
      <c r="A4385" s="2"/>
      <c r="F4385" s="3"/>
      <c r="G4385" s="3"/>
      <c r="N4385" s="3"/>
      <c r="Q4385" s="3"/>
      <c r="R4385" s="3"/>
      <c r="S4385" s="3"/>
      <c r="V4385" s="3"/>
      <c r="W4385" s="3"/>
      <c r="X4385" s="3"/>
      <c r="Y4385" s="3"/>
      <c r="Z4385" s="3"/>
      <c r="AA4385" s="3"/>
      <c r="AB4385" s="3"/>
    </row>
    <row r="4386" spans="1:28" x14ac:dyDescent="0.3">
      <c r="A4386" s="2"/>
      <c r="F4386" s="3"/>
      <c r="G4386" s="3"/>
      <c r="N4386" s="3"/>
      <c r="Q4386" s="3"/>
      <c r="R4386" s="3"/>
      <c r="S4386" s="3"/>
      <c r="V4386" s="3"/>
      <c r="W4386" s="3"/>
      <c r="X4386" s="3"/>
      <c r="Y4386" s="3"/>
      <c r="Z4386" s="3"/>
      <c r="AA4386" s="3"/>
      <c r="AB4386" s="3"/>
    </row>
    <row r="4387" spans="1:28" x14ac:dyDescent="0.3">
      <c r="A4387" s="2"/>
      <c r="F4387" s="3"/>
      <c r="G4387" s="3"/>
      <c r="N4387" s="3"/>
      <c r="Q4387" s="3"/>
      <c r="R4387" s="3"/>
      <c r="S4387" s="3"/>
      <c r="V4387" s="3"/>
      <c r="W4387" s="3"/>
      <c r="X4387" s="3"/>
      <c r="Y4387" s="3"/>
      <c r="Z4387" s="3"/>
      <c r="AA4387" s="3"/>
      <c r="AB4387" s="3"/>
    </row>
    <row r="4388" spans="1:28" x14ac:dyDescent="0.3">
      <c r="A4388" s="2"/>
      <c r="F4388" s="3"/>
      <c r="G4388" s="3"/>
      <c r="N4388" s="3"/>
      <c r="Q4388" s="3"/>
      <c r="R4388" s="3"/>
      <c r="S4388" s="3"/>
      <c r="V4388" s="3"/>
      <c r="W4388" s="3"/>
      <c r="X4388" s="3"/>
      <c r="Y4388" s="3"/>
      <c r="Z4388" s="3"/>
      <c r="AA4388" s="3"/>
      <c r="AB4388" s="3"/>
    </row>
    <row r="4389" spans="1:28" x14ac:dyDescent="0.3">
      <c r="A4389" s="2"/>
      <c r="F4389" s="3"/>
      <c r="G4389" s="3"/>
      <c r="N4389" s="3"/>
      <c r="Q4389" s="3"/>
      <c r="R4389" s="3"/>
      <c r="S4389" s="3"/>
      <c r="V4389" s="3"/>
      <c r="W4389" s="3"/>
      <c r="X4389" s="3"/>
      <c r="Y4389" s="3"/>
      <c r="Z4389" s="3"/>
      <c r="AA4389" s="3"/>
      <c r="AB4389" s="3"/>
    </row>
    <row r="4390" spans="1:28" x14ac:dyDescent="0.3">
      <c r="A4390" s="2"/>
      <c r="F4390" s="3"/>
      <c r="G4390" s="3"/>
      <c r="N4390" s="3"/>
      <c r="Q4390" s="3"/>
      <c r="R4390" s="3"/>
      <c r="S4390" s="3"/>
      <c r="V4390" s="3"/>
      <c r="W4390" s="3"/>
      <c r="X4390" s="3"/>
      <c r="Y4390" s="3"/>
      <c r="Z4390" s="3"/>
      <c r="AA4390" s="3"/>
      <c r="AB4390" s="3"/>
    </row>
    <row r="4391" spans="1:28" x14ac:dyDescent="0.3">
      <c r="A4391" s="2"/>
      <c r="F4391" s="3"/>
      <c r="G4391" s="3"/>
      <c r="N4391" s="3"/>
      <c r="Q4391" s="3"/>
      <c r="R4391" s="3"/>
      <c r="S4391" s="3"/>
      <c r="V4391" s="3"/>
      <c r="W4391" s="3"/>
      <c r="X4391" s="3"/>
      <c r="Y4391" s="3"/>
      <c r="Z4391" s="3"/>
      <c r="AA4391" s="3"/>
      <c r="AB4391" s="3"/>
    </row>
    <row r="4392" spans="1:28" x14ac:dyDescent="0.3">
      <c r="A4392" s="2"/>
      <c r="F4392" s="3"/>
      <c r="G4392" s="3"/>
      <c r="N4392" s="3"/>
      <c r="Q4392" s="3"/>
      <c r="R4392" s="3"/>
      <c r="S4392" s="3"/>
      <c r="V4392" s="3"/>
      <c r="W4392" s="3"/>
      <c r="X4392" s="3"/>
      <c r="Y4392" s="3"/>
      <c r="Z4392" s="3"/>
      <c r="AA4392" s="3"/>
      <c r="AB4392" s="3"/>
    </row>
    <row r="4393" spans="1:28" x14ac:dyDescent="0.3">
      <c r="A4393" s="2"/>
      <c r="F4393" s="3"/>
      <c r="G4393" s="3"/>
      <c r="N4393" s="3"/>
      <c r="Q4393" s="3"/>
      <c r="R4393" s="3"/>
      <c r="S4393" s="3"/>
      <c r="V4393" s="3"/>
      <c r="W4393" s="3"/>
      <c r="X4393" s="3"/>
      <c r="Y4393" s="3"/>
      <c r="Z4393" s="3"/>
      <c r="AA4393" s="3"/>
      <c r="AB4393" s="3"/>
    </row>
    <row r="4394" spans="1:28" x14ac:dyDescent="0.3">
      <c r="A4394" s="2"/>
      <c r="F4394" s="3"/>
      <c r="G4394" s="3"/>
      <c r="N4394" s="3"/>
      <c r="Q4394" s="3"/>
      <c r="R4394" s="3"/>
      <c r="S4394" s="3"/>
      <c r="V4394" s="3"/>
      <c r="W4394" s="3"/>
      <c r="X4394" s="3"/>
      <c r="Y4394" s="3"/>
      <c r="Z4394" s="3"/>
      <c r="AA4394" s="3"/>
      <c r="AB4394" s="3"/>
    </row>
    <row r="4395" spans="1:28" x14ac:dyDescent="0.3">
      <c r="A4395" s="2"/>
      <c r="F4395" s="3"/>
      <c r="G4395" s="3"/>
      <c r="N4395" s="3"/>
      <c r="Q4395" s="3"/>
      <c r="R4395" s="3"/>
      <c r="S4395" s="3"/>
      <c r="V4395" s="3"/>
      <c r="W4395" s="3"/>
      <c r="X4395" s="3"/>
      <c r="Y4395" s="3"/>
      <c r="Z4395" s="3"/>
      <c r="AA4395" s="3"/>
      <c r="AB4395" s="3"/>
    </row>
    <row r="4396" spans="1:28" x14ac:dyDescent="0.3">
      <c r="A4396" s="2"/>
      <c r="F4396" s="3"/>
      <c r="G4396" s="3"/>
      <c r="N4396" s="3"/>
      <c r="Q4396" s="3"/>
      <c r="R4396" s="3"/>
      <c r="S4396" s="3"/>
      <c r="V4396" s="3"/>
      <c r="W4396" s="3"/>
      <c r="X4396" s="3"/>
      <c r="Y4396" s="3"/>
      <c r="Z4396" s="3"/>
      <c r="AA4396" s="3"/>
      <c r="AB4396" s="3"/>
    </row>
    <row r="4397" spans="1:28" x14ac:dyDescent="0.3">
      <c r="A4397" s="2"/>
      <c r="F4397" s="3"/>
      <c r="G4397" s="3"/>
      <c r="N4397" s="3"/>
      <c r="Q4397" s="3"/>
      <c r="R4397" s="3"/>
      <c r="S4397" s="3"/>
      <c r="V4397" s="3"/>
      <c r="W4397" s="3"/>
      <c r="X4397" s="3"/>
      <c r="Y4397" s="3"/>
      <c r="Z4397" s="3"/>
      <c r="AA4397" s="3"/>
      <c r="AB4397" s="3"/>
    </row>
    <row r="4398" spans="1:28" x14ac:dyDescent="0.3">
      <c r="A4398" s="2"/>
      <c r="F4398" s="3"/>
      <c r="G4398" s="3"/>
      <c r="N4398" s="3"/>
      <c r="Q4398" s="3"/>
      <c r="R4398" s="3"/>
      <c r="S4398" s="3"/>
      <c r="V4398" s="3"/>
      <c r="W4398" s="3"/>
      <c r="X4398" s="3"/>
      <c r="Y4398" s="3"/>
      <c r="Z4398" s="3"/>
      <c r="AA4398" s="3"/>
      <c r="AB4398" s="3"/>
    </row>
    <row r="4399" spans="1:28" x14ac:dyDescent="0.3">
      <c r="A4399" s="2"/>
      <c r="F4399" s="3"/>
      <c r="G4399" s="3"/>
      <c r="N4399" s="3"/>
      <c r="Q4399" s="3"/>
      <c r="R4399" s="3"/>
      <c r="S4399" s="3"/>
      <c r="V4399" s="3"/>
      <c r="W4399" s="3"/>
      <c r="X4399" s="3"/>
      <c r="Y4399" s="3"/>
      <c r="Z4399" s="3"/>
      <c r="AA4399" s="3"/>
      <c r="AB4399" s="3"/>
    </row>
    <row r="4400" spans="1:28" x14ac:dyDescent="0.3">
      <c r="A4400" s="2"/>
      <c r="F4400" s="3"/>
      <c r="G4400" s="3"/>
      <c r="N4400" s="3"/>
      <c r="Q4400" s="3"/>
      <c r="R4400" s="3"/>
      <c r="S4400" s="3"/>
      <c r="V4400" s="3"/>
      <c r="W4400" s="3"/>
      <c r="X4400" s="3"/>
      <c r="Y4400" s="3"/>
      <c r="Z4400" s="3"/>
      <c r="AA4400" s="3"/>
      <c r="AB4400" s="3"/>
    </row>
    <row r="4401" spans="1:28" x14ac:dyDescent="0.3">
      <c r="A4401" s="2"/>
      <c r="F4401" s="3"/>
      <c r="G4401" s="3"/>
      <c r="N4401" s="3"/>
      <c r="Q4401" s="3"/>
      <c r="R4401" s="3"/>
      <c r="S4401" s="3"/>
      <c r="V4401" s="3"/>
      <c r="W4401" s="3"/>
      <c r="X4401" s="3"/>
      <c r="Y4401" s="3"/>
      <c r="Z4401" s="3"/>
      <c r="AA4401" s="3"/>
      <c r="AB4401" s="3"/>
    </row>
    <row r="4402" spans="1:28" x14ac:dyDescent="0.3">
      <c r="A4402" s="2"/>
      <c r="F4402" s="3"/>
      <c r="G4402" s="3"/>
      <c r="N4402" s="3"/>
      <c r="Q4402" s="3"/>
      <c r="R4402" s="3"/>
      <c r="S4402" s="3"/>
      <c r="V4402" s="3"/>
      <c r="W4402" s="3"/>
      <c r="X4402" s="3"/>
      <c r="Y4402" s="3"/>
      <c r="Z4402" s="3"/>
      <c r="AA4402" s="3"/>
      <c r="AB4402" s="3"/>
    </row>
    <row r="4403" spans="1:28" x14ac:dyDescent="0.3">
      <c r="A4403" s="2"/>
      <c r="F4403" s="3"/>
      <c r="G4403" s="3"/>
      <c r="N4403" s="3"/>
      <c r="Q4403" s="3"/>
      <c r="R4403" s="3"/>
      <c r="S4403" s="3"/>
      <c r="V4403" s="3"/>
      <c r="W4403" s="3"/>
      <c r="X4403" s="3"/>
      <c r="Y4403" s="3"/>
      <c r="Z4403" s="3"/>
      <c r="AA4403" s="3"/>
      <c r="AB4403" s="3"/>
    </row>
    <row r="4404" spans="1:28" x14ac:dyDescent="0.3">
      <c r="A4404" s="2"/>
      <c r="F4404" s="3"/>
      <c r="G4404" s="3"/>
      <c r="N4404" s="3"/>
      <c r="Q4404" s="3"/>
      <c r="R4404" s="3"/>
      <c r="S4404" s="3"/>
      <c r="V4404" s="3"/>
      <c r="W4404" s="3"/>
      <c r="X4404" s="3"/>
      <c r="Y4404" s="3"/>
      <c r="Z4404" s="3"/>
      <c r="AA4404" s="3"/>
      <c r="AB4404" s="3"/>
    </row>
    <row r="4405" spans="1:28" x14ac:dyDescent="0.3">
      <c r="A4405" s="2"/>
      <c r="F4405" s="3"/>
      <c r="G4405" s="3"/>
      <c r="N4405" s="3"/>
      <c r="Q4405" s="3"/>
      <c r="R4405" s="3"/>
      <c r="S4405" s="3"/>
      <c r="V4405" s="3"/>
      <c r="W4405" s="3"/>
      <c r="X4405" s="3"/>
      <c r="Y4405" s="3"/>
      <c r="Z4405" s="3"/>
      <c r="AA4405" s="3"/>
      <c r="AB4405" s="3"/>
    </row>
    <row r="4406" spans="1:28" x14ac:dyDescent="0.3">
      <c r="A4406" s="2"/>
      <c r="F4406" s="3"/>
      <c r="G4406" s="3"/>
      <c r="N4406" s="3"/>
      <c r="Q4406" s="3"/>
      <c r="R4406" s="3"/>
      <c r="S4406" s="3"/>
      <c r="V4406" s="3"/>
      <c r="W4406" s="3"/>
      <c r="X4406" s="3"/>
      <c r="Y4406" s="3"/>
      <c r="Z4406" s="3"/>
      <c r="AA4406" s="3"/>
      <c r="AB4406" s="3"/>
    </row>
    <row r="4407" spans="1:28" x14ac:dyDescent="0.3">
      <c r="A4407" s="2"/>
      <c r="F4407" s="3"/>
      <c r="G4407" s="3"/>
      <c r="N4407" s="3"/>
      <c r="Q4407" s="3"/>
      <c r="R4407" s="3"/>
      <c r="S4407" s="3"/>
      <c r="V4407" s="3"/>
      <c r="W4407" s="3"/>
      <c r="X4407" s="3"/>
      <c r="Y4407" s="3"/>
      <c r="Z4407" s="3"/>
      <c r="AA4407" s="3"/>
      <c r="AB4407" s="3"/>
    </row>
    <row r="4408" spans="1:28" x14ac:dyDescent="0.3">
      <c r="A4408" s="2"/>
      <c r="F4408" s="3"/>
      <c r="G4408" s="3"/>
      <c r="N4408" s="3"/>
      <c r="Q4408" s="3"/>
      <c r="R4408" s="3"/>
      <c r="S4408" s="3"/>
      <c r="V4408" s="3"/>
      <c r="W4408" s="3"/>
      <c r="X4408" s="3"/>
      <c r="Y4408" s="3"/>
      <c r="Z4408" s="3"/>
      <c r="AA4408" s="3"/>
      <c r="AB4408" s="3"/>
    </row>
    <row r="4409" spans="1:28" x14ac:dyDescent="0.3">
      <c r="A4409" s="2"/>
      <c r="F4409" s="3"/>
      <c r="G4409" s="3"/>
      <c r="N4409" s="3"/>
      <c r="Q4409" s="3"/>
      <c r="R4409" s="3"/>
      <c r="S4409" s="3"/>
      <c r="V4409" s="3"/>
      <c r="W4409" s="3"/>
      <c r="X4409" s="3"/>
      <c r="Y4409" s="3"/>
      <c r="Z4409" s="3"/>
      <c r="AA4409" s="3"/>
      <c r="AB4409" s="3"/>
    </row>
    <row r="4410" spans="1:28" x14ac:dyDescent="0.3">
      <c r="A4410" s="2"/>
      <c r="F4410" s="3"/>
      <c r="G4410" s="3"/>
      <c r="N4410" s="3"/>
      <c r="Q4410" s="3"/>
      <c r="R4410" s="3"/>
      <c r="S4410" s="3"/>
      <c r="V4410" s="3"/>
      <c r="W4410" s="3"/>
      <c r="X4410" s="3"/>
      <c r="Y4410" s="3"/>
      <c r="Z4410" s="3"/>
      <c r="AA4410" s="3"/>
      <c r="AB4410" s="3"/>
    </row>
    <row r="4411" spans="1:28" x14ac:dyDescent="0.3">
      <c r="A4411" s="2"/>
      <c r="F4411" s="3"/>
      <c r="G4411" s="3"/>
      <c r="N4411" s="3"/>
      <c r="Q4411" s="3"/>
      <c r="R4411" s="3"/>
      <c r="S4411" s="3"/>
      <c r="V4411" s="3"/>
      <c r="W4411" s="3"/>
      <c r="X4411" s="3"/>
      <c r="Y4411" s="3"/>
      <c r="Z4411" s="3"/>
      <c r="AA4411" s="3"/>
      <c r="AB4411" s="3"/>
    </row>
    <row r="4412" spans="1:28" x14ac:dyDescent="0.3">
      <c r="A4412" s="2"/>
      <c r="F4412" s="3"/>
      <c r="G4412" s="3"/>
      <c r="N4412" s="3"/>
      <c r="Q4412" s="3"/>
      <c r="R4412" s="3"/>
      <c r="S4412" s="3"/>
      <c r="V4412" s="3"/>
      <c r="W4412" s="3"/>
      <c r="X4412" s="3"/>
      <c r="Y4412" s="3"/>
      <c r="Z4412" s="3"/>
      <c r="AA4412" s="3"/>
      <c r="AB4412" s="3"/>
    </row>
    <row r="4413" spans="1:28" x14ac:dyDescent="0.3">
      <c r="A4413" s="2"/>
      <c r="F4413" s="3"/>
      <c r="G4413" s="3"/>
      <c r="N4413" s="3"/>
      <c r="Q4413" s="3"/>
      <c r="R4413" s="3"/>
      <c r="S4413" s="3"/>
      <c r="V4413" s="3"/>
      <c r="W4413" s="3"/>
      <c r="X4413" s="3"/>
      <c r="Y4413" s="3"/>
      <c r="Z4413" s="3"/>
      <c r="AA4413" s="3"/>
      <c r="AB4413" s="3"/>
    </row>
    <row r="4414" spans="1:28" x14ac:dyDescent="0.3">
      <c r="A4414" s="2"/>
      <c r="F4414" s="3"/>
      <c r="G4414" s="3"/>
      <c r="N4414" s="3"/>
      <c r="Q4414" s="3"/>
      <c r="R4414" s="3"/>
      <c r="S4414" s="3"/>
      <c r="V4414" s="3"/>
      <c r="W4414" s="3"/>
      <c r="X4414" s="3"/>
      <c r="Y4414" s="3"/>
      <c r="Z4414" s="3"/>
      <c r="AA4414" s="3"/>
      <c r="AB4414" s="3"/>
    </row>
    <row r="4415" spans="1:28" x14ac:dyDescent="0.3">
      <c r="A4415" s="2"/>
      <c r="F4415" s="3"/>
      <c r="G4415" s="3"/>
      <c r="N4415" s="3"/>
      <c r="Q4415" s="3"/>
      <c r="R4415" s="3"/>
      <c r="S4415" s="3"/>
      <c r="V4415" s="3"/>
      <c r="W4415" s="3"/>
      <c r="X4415" s="3"/>
      <c r="Y4415" s="3"/>
      <c r="Z4415" s="3"/>
      <c r="AA4415" s="3"/>
      <c r="AB4415" s="3"/>
    </row>
    <row r="4416" spans="1:28" x14ac:dyDescent="0.3">
      <c r="A4416" s="2"/>
      <c r="F4416" s="3"/>
      <c r="G4416" s="3"/>
      <c r="N4416" s="3"/>
      <c r="Q4416" s="3"/>
      <c r="R4416" s="3"/>
      <c r="S4416" s="3"/>
      <c r="V4416" s="3"/>
      <c r="W4416" s="3"/>
      <c r="X4416" s="3"/>
      <c r="Y4416" s="3"/>
      <c r="Z4416" s="3"/>
      <c r="AA4416" s="3"/>
      <c r="AB4416" s="3"/>
    </row>
    <row r="4417" spans="1:28" x14ac:dyDescent="0.3">
      <c r="A4417" s="2"/>
      <c r="F4417" s="3"/>
      <c r="G4417" s="3"/>
      <c r="N4417" s="3"/>
      <c r="Q4417" s="3"/>
      <c r="R4417" s="3"/>
      <c r="S4417" s="3"/>
      <c r="V4417" s="3"/>
      <c r="W4417" s="3"/>
      <c r="X4417" s="3"/>
      <c r="Y4417" s="3"/>
      <c r="Z4417" s="3"/>
      <c r="AA4417" s="3"/>
      <c r="AB4417" s="3"/>
    </row>
    <row r="4418" spans="1:28" x14ac:dyDescent="0.3">
      <c r="A4418" s="2"/>
      <c r="F4418" s="3"/>
      <c r="G4418" s="3"/>
      <c r="N4418" s="3"/>
      <c r="Q4418" s="3"/>
      <c r="R4418" s="3"/>
      <c r="S4418" s="3"/>
      <c r="V4418" s="3"/>
      <c r="W4418" s="3"/>
      <c r="X4418" s="3"/>
      <c r="Y4418" s="3"/>
      <c r="Z4418" s="3"/>
      <c r="AA4418" s="3"/>
      <c r="AB4418" s="3"/>
    </row>
    <row r="4419" spans="1:28" x14ac:dyDescent="0.3">
      <c r="A4419" s="2"/>
      <c r="F4419" s="3"/>
      <c r="G4419" s="3"/>
      <c r="N4419" s="3"/>
      <c r="Q4419" s="3"/>
      <c r="R4419" s="3"/>
      <c r="S4419" s="3"/>
      <c r="V4419" s="3"/>
      <c r="W4419" s="3"/>
      <c r="X4419" s="3"/>
      <c r="Y4419" s="3"/>
      <c r="Z4419" s="3"/>
      <c r="AA4419" s="3"/>
      <c r="AB4419" s="3"/>
    </row>
    <row r="4420" spans="1:28" x14ac:dyDescent="0.3">
      <c r="A4420" s="2"/>
      <c r="F4420" s="3"/>
      <c r="G4420" s="3"/>
      <c r="N4420" s="3"/>
      <c r="Q4420" s="3"/>
      <c r="R4420" s="3"/>
      <c r="S4420" s="3"/>
      <c r="V4420" s="3"/>
      <c r="W4420" s="3"/>
      <c r="X4420" s="3"/>
      <c r="Y4420" s="3"/>
      <c r="Z4420" s="3"/>
      <c r="AA4420" s="3"/>
      <c r="AB4420" s="3"/>
    </row>
    <row r="4421" spans="1:28" x14ac:dyDescent="0.3">
      <c r="A4421" s="2"/>
      <c r="F4421" s="3"/>
      <c r="G4421" s="3"/>
      <c r="N4421" s="3"/>
      <c r="Q4421" s="3"/>
      <c r="R4421" s="3"/>
      <c r="S4421" s="3"/>
      <c r="V4421" s="3"/>
      <c r="W4421" s="3"/>
      <c r="X4421" s="3"/>
      <c r="Y4421" s="3"/>
      <c r="Z4421" s="3"/>
      <c r="AA4421" s="3"/>
      <c r="AB4421" s="3"/>
    </row>
    <row r="4422" spans="1:28" x14ac:dyDescent="0.3">
      <c r="A4422" s="2"/>
      <c r="F4422" s="3"/>
      <c r="G4422" s="3"/>
      <c r="N4422" s="3"/>
      <c r="Q4422" s="3"/>
      <c r="R4422" s="3"/>
      <c r="S4422" s="3"/>
      <c r="V4422" s="3"/>
      <c r="W4422" s="3"/>
      <c r="X4422" s="3"/>
      <c r="Y4422" s="3"/>
      <c r="Z4422" s="3"/>
      <c r="AA4422" s="3"/>
      <c r="AB4422" s="3"/>
    </row>
    <row r="4423" spans="1:28" x14ac:dyDescent="0.3">
      <c r="A4423" s="2"/>
      <c r="F4423" s="3"/>
      <c r="G4423" s="3"/>
      <c r="N4423" s="3"/>
      <c r="Q4423" s="3"/>
      <c r="R4423" s="3"/>
      <c r="S4423" s="3"/>
      <c r="V4423" s="3"/>
      <c r="W4423" s="3"/>
      <c r="X4423" s="3"/>
      <c r="Y4423" s="3"/>
      <c r="Z4423" s="3"/>
      <c r="AA4423" s="3"/>
      <c r="AB4423" s="3"/>
    </row>
    <row r="4424" spans="1:28" x14ac:dyDescent="0.3">
      <c r="A4424" s="2"/>
      <c r="F4424" s="3"/>
      <c r="G4424" s="3"/>
      <c r="N4424" s="3"/>
      <c r="Q4424" s="3"/>
      <c r="R4424" s="3"/>
      <c r="S4424" s="3"/>
      <c r="V4424" s="3"/>
      <c r="W4424" s="3"/>
      <c r="X4424" s="3"/>
      <c r="Y4424" s="3"/>
      <c r="Z4424" s="3"/>
      <c r="AA4424" s="3"/>
      <c r="AB4424" s="3"/>
    </row>
    <row r="4425" spans="1:28" x14ac:dyDescent="0.3">
      <c r="A4425" s="2"/>
      <c r="F4425" s="3"/>
      <c r="G4425" s="3"/>
      <c r="N4425" s="3"/>
      <c r="Q4425" s="3"/>
      <c r="R4425" s="3"/>
      <c r="S4425" s="3"/>
      <c r="V4425" s="3"/>
      <c r="W4425" s="3"/>
      <c r="X4425" s="3"/>
      <c r="Y4425" s="3"/>
      <c r="Z4425" s="3"/>
      <c r="AA4425" s="3"/>
      <c r="AB4425" s="3"/>
    </row>
    <row r="4426" spans="1:28" x14ac:dyDescent="0.3">
      <c r="A4426" s="2"/>
      <c r="F4426" s="3"/>
      <c r="G4426" s="3"/>
      <c r="N4426" s="3"/>
      <c r="Q4426" s="3"/>
      <c r="R4426" s="3"/>
      <c r="S4426" s="3"/>
      <c r="V4426" s="3"/>
      <c r="W4426" s="3"/>
      <c r="X4426" s="3"/>
      <c r="Y4426" s="3"/>
      <c r="Z4426" s="3"/>
      <c r="AA4426" s="3"/>
      <c r="AB4426" s="3"/>
    </row>
    <row r="4427" spans="1:28" x14ac:dyDescent="0.3">
      <c r="A4427" s="2"/>
      <c r="F4427" s="3"/>
      <c r="G4427" s="3"/>
      <c r="N4427" s="3"/>
      <c r="Q4427" s="3"/>
      <c r="R4427" s="3"/>
      <c r="S4427" s="3"/>
      <c r="V4427" s="3"/>
      <c r="W4427" s="3"/>
      <c r="X4427" s="3"/>
      <c r="Y4427" s="3"/>
      <c r="Z4427" s="3"/>
      <c r="AA4427" s="3"/>
      <c r="AB4427" s="3"/>
    </row>
    <row r="4428" spans="1:28" x14ac:dyDescent="0.3">
      <c r="A4428" s="2"/>
      <c r="F4428" s="3"/>
      <c r="G4428" s="3"/>
      <c r="N4428" s="3"/>
      <c r="Q4428" s="3"/>
      <c r="R4428" s="3"/>
      <c r="S4428" s="3"/>
      <c r="V4428" s="3"/>
      <c r="W4428" s="3"/>
      <c r="X4428" s="3"/>
      <c r="Y4428" s="3"/>
      <c r="Z4428" s="3"/>
      <c r="AA4428" s="3"/>
      <c r="AB4428" s="3"/>
    </row>
    <row r="4429" spans="1:28" x14ac:dyDescent="0.3">
      <c r="A4429" s="2"/>
      <c r="F4429" s="3"/>
      <c r="G4429" s="3"/>
      <c r="N4429" s="3"/>
      <c r="Q4429" s="3"/>
      <c r="R4429" s="3"/>
      <c r="S4429" s="3"/>
      <c r="V4429" s="3"/>
      <c r="W4429" s="3"/>
      <c r="X4429" s="3"/>
      <c r="Y4429" s="3"/>
      <c r="Z4429" s="3"/>
      <c r="AA4429" s="3"/>
      <c r="AB4429" s="3"/>
    </row>
    <row r="4430" spans="1:28" x14ac:dyDescent="0.3">
      <c r="A4430" s="2"/>
      <c r="F4430" s="3"/>
      <c r="G4430" s="3"/>
      <c r="N4430" s="3"/>
      <c r="Q4430" s="3"/>
      <c r="R4430" s="3"/>
      <c r="S4430" s="3"/>
      <c r="V4430" s="3"/>
      <c r="W4430" s="3"/>
      <c r="X4430" s="3"/>
      <c r="Y4430" s="3"/>
      <c r="Z4430" s="3"/>
      <c r="AA4430" s="3"/>
      <c r="AB4430" s="3"/>
    </row>
    <row r="4431" spans="1:28" x14ac:dyDescent="0.3">
      <c r="A4431" s="2"/>
      <c r="F4431" s="3"/>
      <c r="G4431" s="3"/>
      <c r="N4431" s="3"/>
      <c r="Q4431" s="3"/>
      <c r="R4431" s="3"/>
      <c r="S4431" s="3"/>
      <c r="V4431" s="3"/>
      <c r="W4431" s="3"/>
      <c r="X4431" s="3"/>
      <c r="Y4431" s="3"/>
      <c r="Z4431" s="3"/>
      <c r="AA4431" s="3"/>
      <c r="AB4431" s="3"/>
    </row>
    <row r="4432" spans="1:28" x14ac:dyDescent="0.3">
      <c r="A4432" s="2"/>
      <c r="F4432" s="3"/>
      <c r="G4432" s="3"/>
      <c r="N4432" s="3"/>
      <c r="Q4432" s="3"/>
      <c r="R4432" s="3"/>
      <c r="S4432" s="3"/>
      <c r="V4432" s="3"/>
      <c r="W4432" s="3"/>
      <c r="X4432" s="3"/>
      <c r="Y4432" s="3"/>
      <c r="Z4432" s="3"/>
      <c r="AA4432" s="3"/>
      <c r="AB4432" s="3"/>
    </row>
    <row r="4433" spans="1:28" x14ac:dyDescent="0.3">
      <c r="A4433" s="2"/>
      <c r="F4433" s="3"/>
      <c r="G4433" s="3"/>
      <c r="N4433" s="3"/>
      <c r="Q4433" s="3"/>
      <c r="R4433" s="3"/>
      <c r="S4433" s="3"/>
      <c r="V4433" s="3"/>
      <c r="W4433" s="3"/>
      <c r="X4433" s="3"/>
      <c r="Y4433" s="3"/>
      <c r="Z4433" s="3"/>
      <c r="AA4433" s="3"/>
      <c r="AB4433" s="3"/>
    </row>
    <row r="4434" spans="1:28" x14ac:dyDescent="0.3">
      <c r="A4434" s="2"/>
      <c r="F4434" s="3"/>
      <c r="G4434" s="3"/>
      <c r="N4434" s="3"/>
      <c r="Q4434" s="3"/>
      <c r="R4434" s="3"/>
      <c r="S4434" s="3"/>
      <c r="V4434" s="3"/>
      <c r="W4434" s="3"/>
      <c r="X4434" s="3"/>
      <c r="Y4434" s="3"/>
      <c r="Z4434" s="3"/>
      <c r="AA4434" s="3"/>
      <c r="AB4434" s="3"/>
    </row>
    <row r="4435" spans="1:28" x14ac:dyDescent="0.3">
      <c r="A4435" s="2"/>
      <c r="F4435" s="3"/>
      <c r="G4435" s="3"/>
      <c r="N4435" s="3"/>
      <c r="Q4435" s="3"/>
      <c r="R4435" s="3"/>
      <c r="S4435" s="3"/>
      <c r="V4435" s="3"/>
      <c r="W4435" s="3"/>
      <c r="X4435" s="3"/>
      <c r="Y4435" s="3"/>
      <c r="Z4435" s="3"/>
      <c r="AA4435" s="3"/>
      <c r="AB4435" s="3"/>
    </row>
    <row r="4436" spans="1:28" x14ac:dyDescent="0.3">
      <c r="A4436" s="2"/>
      <c r="F4436" s="3"/>
      <c r="G4436" s="3"/>
      <c r="N4436" s="3"/>
      <c r="Q4436" s="3"/>
      <c r="R4436" s="3"/>
      <c r="S4436" s="3"/>
      <c r="V4436" s="3"/>
      <c r="W4436" s="3"/>
      <c r="X4436" s="3"/>
      <c r="Y4436" s="3"/>
      <c r="Z4436" s="3"/>
      <c r="AA4436" s="3"/>
      <c r="AB4436" s="3"/>
    </row>
    <row r="4437" spans="1:28" x14ac:dyDescent="0.3">
      <c r="A4437" s="2"/>
      <c r="F4437" s="3"/>
      <c r="G4437" s="3"/>
      <c r="N4437" s="3"/>
      <c r="Q4437" s="3"/>
      <c r="R4437" s="3"/>
      <c r="S4437" s="3"/>
      <c r="V4437" s="3"/>
      <c r="W4437" s="3"/>
      <c r="X4437" s="3"/>
      <c r="Y4437" s="3"/>
      <c r="Z4437" s="3"/>
      <c r="AA4437" s="3"/>
      <c r="AB4437" s="3"/>
    </row>
    <row r="4438" spans="1:28" x14ac:dyDescent="0.3">
      <c r="A4438" s="2"/>
      <c r="F4438" s="3"/>
      <c r="G4438" s="3"/>
      <c r="N4438" s="3"/>
      <c r="Q4438" s="3"/>
      <c r="R4438" s="3"/>
      <c r="S4438" s="3"/>
      <c r="V4438" s="3"/>
      <c r="W4438" s="3"/>
      <c r="X4438" s="3"/>
      <c r="Y4438" s="3"/>
      <c r="Z4438" s="3"/>
      <c r="AA4438" s="3"/>
      <c r="AB4438" s="3"/>
    </row>
    <row r="4439" spans="1:28" x14ac:dyDescent="0.3">
      <c r="A4439" s="2"/>
      <c r="F4439" s="3"/>
      <c r="G4439" s="3"/>
      <c r="N4439" s="3"/>
      <c r="Q4439" s="3"/>
      <c r="R4439" s="3"/>
      <c r="S4439" s="3"/>
      <c r="V4439" s="3"/>
      <c r="W4439" s="3"/>
      <c r="X4439" s="3"/>
      <c r="Y4439" s="3"/>
      <c r="Z4439" s="3"/>
      <c r="AA4439" s="3"/>
      <c r="AB4439" s="3"/>
    </row>
    <row r="4440" spans="1:28" x14ac:dyDescent="0.3">
      <c r="A4440" s="2"/>
      <c r="F4440" s="3"/>
      <c r="G4440" s="3"/>
      <c r="N4440" s="3"/>
      <c r="Q4440" s="3"/>
      <c r="R4440" s="3"/>
      <c r="S4440" s="3"/>
      <c r="V4440" s="3"/>
      <c r="W4440" s="3"/>
      <c r="X4440" s="3"/>
      <c r="Y4440" s="3"/>
      <c r="Z4440" s="3"/>
      <c r="AA4440" s="3"/>
      <c r="AB4440" s="3"/>
    </row>
    <row r="4441" spans="1:28" x14ac:dyDescent="0.3">
      <c r="A4441" s="2"/>
      <c r="F4441" s="3"/>
      <c r="G4441" s="3"/>
      <c r="N4441" s="3"/>
      <c r="Q4441" s="3"/>
      <c r="R4441" s="3"/>
      <c r="S4441" s="3"/>
      <c r="V4441" s="3"/>
      <c r="W4441" s="3"/>
      <c r="X4441" s="3"/>
      <c r="Y4441" s="3"/>
      <c r="Z4441" s="3"/>
      <c r="AA4441" s="3"/>
      <c r="AB4441" s="3"/>
    </row>
    <row r="4442" spans="1:28" x14ac:dyDescent="0.3">
      <c r="A4442" s="2"/>
      <c r="F4442" s="3"/>
      <c r="G4442" s="3"/>
      <c r="N4442" s="3"/>
      <c r="Q4442" s="3"/>
      <c r="R4442" s="3"/>
      <c r="S4442" s="3"/>
      <c r="V4442" s="3"/>
      <c r="W4442" s="3"/>
      <c r="X4442" s="3"/>
      <c r="Y4442" s="3"/>
      <c r="Z4442" s="3"/>
      <c r="AA4442" s="3"/>
      <c r="AB4442" s="3"/>
    </row>
    <row r="4443" spans="1:28" x14ac:dyDescent="0.3">
      <c r="A4443" s="2"/>
      <c r="F4443" s="3"/>
      <c r="G4443" s="3"/>
      <c r="N4443" s="3"/>
      <c r="Q4443" s="3"/>
      <c r="R4443" s="3"/>
      <c r="S4443" s="3"/>
      <c r="V4443" s="3"/>
      <c r="W4443" s="3"/>
      <c r="X4443" s="3"/>
      <c r="Y4443" s="3"/>
      <c r="Z4443" s="3"/>
      <c r="AA4443" s="3"/>
      <c r="AB4443" s="3"/>
    </row>
    <row r="4444" spans="1:28" x14ac:dyDescent="0.3">
      <c r="A4444" s="2"/>
      <c r="F4444" s="3"/>
      <c r="G4444" s="3"/>
      <c r="N4444" s="3"/>
      <c r="Q4444" s="3"/>
      <c r="R4444" s="3"/>
      <c r="S4444" s="3"/>
      <c r="V4444" s="3"/>
      <c r="W4444" s="3"/>
      <c r="X4444" s="3"/>
      <c r="Y4444" s="3"/>
      <c r="Z4444" s="3"/>
      <c r="AA4444" s="3"/>
      <c r="AB4444" s="3"/>
    </row>
    <row r="4445" spans="1:28" x14ac:dyDescent="0.3">
      <c r="A4445" s="2"/>
      <c r="F4445" s="3"/>
      <c r="G4445" s="3"/>
      <c r="N4445" s="3"/>
      <c r="Q4445" s="3"/>
      <c r="R4445" s="3"/>
      <c r="S4445" s="3"/>
      <c r="V4445" s="3"/>
      <c r="W4445" s="3"/>
      <c r="X4445" s="3"/>
      <c r="Y4445" s="3"/>
      <c r="Z4445" s="3"/>
      <c r="AA4445" s="3"/>
      <c r="AB4445" s="3"/>
    </row>
    <row r="4446" spans="1:28" x14ac:dyDescent="0.3">
      <c r="A4446" s="2"/>
      <c r="F4446" s="3"/>
      <c r="G4446" s="3"/>
      <c r="N4446" s="3"/>
      <c r="Q4446" s="3"/>
      <c r="R4446" s="3"/>
      <c r="S4446" s="3"/>
      <c r="V4446" s="3"/>
      <c r="W4446" s="3"/>
      <c r="X4446" s="3"/>
      <c r="Y4446" s="3"/>
      <c r="Z4446" s="3"/>
      <c r="AA4446" s="3"/>
      <c r="AB4446" s="3"/>
    </row>
    <row r="4447" spans="1:28" x14ac:dyDescent="0.3">
      <c r="A4447" s="2"/>
      <c r="F4447" s="3"/>
      <c r="G4447" s="3"/>
      <c r="N4447" s="3"/>
      <c r="Q4447" s="3"/>
      <c r="R4447" s="3"/>
      <c r="S4447" s="3"/>
      <c r="V4447" s="3"/>
      <c r="W4447" s="3"/>
      <c r="X4447" s="3"/>
      <c r="Y4447" s="3"/>
      <c r="Z4447" s="3"/>
      <c r="AA4447" s="3"/>
      <c r="AB4447" s="3"/>
    </row>
    <row r="4448" spans="1:28" x14ac:dyDescent="0.3">
      <c r="A4448" s="2"/>
      <c r="F4448" s="3"/>
      <c r="G4448" s="3"/>
      <c r="N4448" s="3"/>
      <c r="Q4448" s="3"/>
      <c r="R4448" s="3"/>
      <c r="S4448" s="3"/>
      <c r="V4448" s="3"/>
      <c r="W4448" s="3"/>
      <c r="X4448" s="3"/>
      <c r="Y4448" s="3"/>
      <c r="Z4448" s="3"/>
      <c r="AA4448" s="3"/>
      <c r="AB4448" s="3"/>
    </row>
    <row r="4449" spans="1:28" x14ac:dyDescent="0.3">
      <c r="A4449" s="2"/>
      <c r="F4449" s="3"/>
      <c r="G4449" s="3"/>
      <c r="N4449" s="3"/>
      <c r="Q4449" s="3"/>
      <c r="R4449" s="3"/>
      <c r="S4449" s="3"/>
      <c r="V4449" s="3"/>
      <c r="W4449" s="3"/>
      <c r="X4449" s="3"/>
      <c r="Y4449" s="3"/>
      <c r="Z4449" s="3"/>
      <c r="AA4449" s="3"/>
      <c r="AB4449" s="3"/>
    </row>
    <row r="4450" spans="1:28" x14ac:dyDescent="0.3">
      <c r="A4450" s="2"/>
      <c r="F4450" s="3"/>
      <c r="G4450" s="3"/>
      <c r="N4450" s="3"/>
      <c r="Q4450" s="3"/>
      <c r="R4450" s="3"/>
      <c r="S4450" s="3"/>
      <c r="V4450" s="3"/>
      <c r="W4450" s="3"/>
      <c r="X4450" s="3"/>
      <c r="Y4450" s="3"/>
      <c r="Z4450" s="3"/>
      <c r="AA4450" s="3"/>
      <c r="AB4450" s="3"/>
    </row>
    <row r="4451" spans="1:28" x14ac:dyDescent="0.3">
      <c r="A4451" s="2"/>
      <c r="F4451" s="3"/>
      <c r="G4451" s="3"/>
      <c r="N4451" s="3"/>
      <c r="Q4451" s="3"/>
      <c r="R4451" s="3"/>
      <c r="S4451" s="3"/>
      <c r="V4451" s="3"/>
      <c r="W4451" s="3"/>
      <c r="X4451" s="3"/>
      <c r="Y4451" s="3"/>
      <c r="Z4451" s="3"/>
      <c r="AA4451" s="3"/>
      <c r="AB4451" s="3"/>
    </row>
    <row r="4452" spans="1:28" x14ac:dyDescent="0.3">
      <c r="A4452" s="2"/>
      <c r="F4452" s="3"/>
      <c r="G4452" s="3"/>
      <c r="N4452" s="3"/>
      <c r="Q4452" s="3"/>
      <c r="R4452" s="3"/>
      <c r="S4452" s="3"/>
      <c r="V4452" s="3"/>
      <c r="W4452" s="3"/>
      <c r="X4452" s="3"/>
      <c r="Y4452" s="3"/>
      <c r="Z4452" s="3"/>
      <c r="AA4452" s="3"/>
      <c r="AB4452" s="3"/>
    </row>
    <row r="4453" spans="1:28" x14ac:dyDescent="0.3">
      <c r="A4453" s="2"/>
      <c r="F4453" s="3"/>
      <c r="G4453" s="3"/>
      <c r="N4453" s="3"/>
      <c r="Q4453" s="3"/>
      <c r="R4453" s="3"/>
      <c r="S4453" s="3"/>
      <c r="V4453" s="3"/>
      <c r="W4453" s="3"/>
      <c r="X4453" s="3"/>
      <c r="Y4453" s="3"/>
      <c r="Z4453" s="3"/>
      <c r="AA4453" s="3"/>
      <c r="AB4453" s="3"/>
    </row>
    <row r="4454" spans="1:28" x14ac:dyDescent="0.3">
      <c r="A4454" s="2"/>
      <c r="F4454" s="3"/>
      <c r="G4454" s="3"/>
      <c r="N4454" s="3"/>
      <c r="Q4454" s="3"/>
      <c r="R4454" s="3"/>
      <c r="S4454" s="3"/>
      <c r="V4454" s="3"/>
      <c r="W4454" s="3"/>
      <c r="X4454" s="3"/>
      <c r="Y4454" s="3"/>
      <c r="Z4454" s="3"/>
      <c r="AA4454" s="3"/>
      <c r="AB4454" s="3"/>
    </row>
    <row r="4455" spans="1:28" x14ac:dyDescent="0.3">
      <c r="A4455" s="2"/>
      <c r="F4455" s="3"/>
      <c r="G4455" s="3"/>
      <c r="N4455" s="3"/>
      <c r="Q4455" s="3"/>
      <c r="R4455" s="3"/>
      <c r="S4455" s="3"/>
      <c r="V4455" s="3"/>
      <c r="W4455" s="3"/>
      <c r="X4455" s="3"/>
      <c r="Y4455" s="3"/>
      <c r="Z4455" s="3"/>
      <c r="AA4455" s="3"/>
      <c r="AB4455" s="3"/>
    </row>
    <row r="4456" spans="1:28" x14ac:dyDescent="0.3">
      <c r="A4456" s="2"/>
      <c r="F4456" s="3"/>
      <c r="G4456" s="3"/>
      <c r="N4456" s="3"/>
      <c r="Q4456" s="3"/>
      <c r="R4456" s="3"/>
      <c r="S4456" s="3"/>
      <c r="V4456" s="3"/>
      <c r="W4456" s="3"/>
      <c r="X4456" s="3"/>
      <c r="Y4456" s="3"/>
      <c r="Z4456" s="3"/>
      <c r="AA4456" s="3"/>
      <c r="AB4456" s="3"/>
    </row>
    <row r="4457" spans="1:28" x14ac:dyDescent="0.3">
      <c r="A4457" s="2"/>
      <c r="F4457" s="3"/>
      <c r="G4457" s="3"/>
      <c r="N4457" s="3"/>
      <c r="Q4457" s="3"/>
      <c r="R4457" s="3"/>
      <c r="S4457" s="3"/>
      <c r="V4457" s="3"/>
      <c r="W4457" s="3"/>
      <c r="X4457" s="3"/>
      <c r="Y4457" s="3"/>
      <c r="Z4457" s="3"/>
      <c r="AA4457" s="3"/>
      <c r="AB4457" s="3"/>
    </row>
    <row r="4458" spans="1:28" x14ac:dyDescent="0.3">
      <c r="A4458" s="2"/>
      <c r="F4458" s="3"/>
      <c r="G4458" s="3"/>
      <c r="N4458" s="3"/>
      <c r="Q4458" s="3"/>
      <c r="R4458" s="3"/>
      <c r="S4458" s="3"/>
      <c r="V4458" s="3"/>
      <c r="W4458" s="3"/>
      <c r="X4458" s="3"/>
      <c r="Y4458" s="3"/>
      <c r="Z4458" s="3"/>
      <c r="AA4458" s="3"/>
      <c r="AB4458" s="3"/>
    </row>
    <row r="4459" spans="1:28" x14ac:dyDescent="0.3">
      <c r="A4459" s="2"/>
      <c r="F4459" s="3"/>
      <c r="G4459" s="3"/>
      <c r="N4459" s="3"/>
      <c r="Q4459" s="3"/>
      <c r="R4459" s="3"/>
      <c r="S4459" s="3"/>
      <c r="V4459" s="3"/>
      <c r="W4459" s="3"/>
      <c r="X4459" s="3"/>
      <c r="Y4459" s="3"/>
      <c r="Z4459" s="3"/>
      <c r="AA4459" s="3"/>
      <c r="AB4459" s="3"/>
    </row>
    <row r="4460" spans="1:28" x14ac:dyDescent="0.3">
      <c r="A4460" s="2"/>
      <c r="F4460" s="3"/>
      <c r="G4460" s="3"/>
      <c r="N4460" s="3"/>
      <c r="Q4460" s="3"/>
      <c r="R4460" s="3"/>
      <c r="S4460" s="3"/>
      <c r="V4460" s="3"/>
      <c r="W4460" s="3"/>
      <c r="X4460" s="3"/>
      <c r="Y4460" s="3"/>
      <c r="Z4460" s="3"/>
      <c r="AA4460" s="3"/>
      <c r="AB4460" s="3"/>
    </row>
    <row r="4461" spans="1:28" x14ac:dyDescent="0.3">
      <c r="A4461" s="2"/>
      <c r="F4461" s="3"/>
      <c r="G4461" s="3"/>
      <c r="N4461" s="3"/>
      <c r="Q4461" s="3"/>
      <c r="R4461" s="3"/>
      <c r="S4461" s="3"/>
      <c r="V4461" s="3"/>
      <c r="W4461" s="3"/>
      <c r="X4461" s="3"/>
      <c r="Y4461" s="3"/>
      <c r="Z4461" s="3"/>
      <c r="AA4461" s="3"/>
      <c r="AB4461" s="3"/>
    </row>
    <row r="4462" spans="1:28" x14ac:dyDescent="0.3">
      <c r="A4462" s="2"/>
      <c r="F4462" s="3"/>
      <c r="G4462" s="3"/>
      <c r="N4462" s="3"/>
      <c r="Q4462" s="3"/>
      <c r="R4462" s="3"/>
      <c r="S4462" s="3"/>
      <c r="V4462" s="3"/>
      <c r="W4462" s="3"/>
      <c r="X4462" s="3"/>
      <c r="Y4462" s="3"/>
      <c r="Z4462" s="3"/>
      <c r="AA4462" s="3"/>
      <c r="AB4462" s="3"/>
    </row>
    <row r="4463" spans="1:28" x14ac:dyDescent="0.3">
      <c r="A4463" s="2"/>
      <c r="F4463" s="3"/>
      <c r="G4463" s="3"/>
      <c r="N4463" s="3"/>
      <c r="Q4463" s="3"/>
      <c r="R4463" s="3"/>
      <c r="S4463" s="3"/>
      <c r="V4463" s="3"/>
      <c r="W4463" s="3"/>
      <c r="X4463" s="3"/>
      <c r="Y4463" s="3"/>
      <c r="Z4463" s="3"/>
      <c r="AA4463" s="3"/>
      <c r="AB4463" s="3"/>
    </row>
    <row r="4464" spans="1:28" x14ac:dyDescent="0.3">
      <c r="A4464" s="2"/>
      <c r="F4464" s="3"/>
      <c r="G4464" s="3"/>
      <c r="N4464" s="3"/>
      <c r="Q4464" s="3"/>
      <c r="R4464" s="3"/>
      <c r="S4464" s="3"/>
      <c r="V4464" s="3"/>
      <c r="W4464" s="3"/>
      <c r="X4464" s="3"/>
      <c r="Y4464" s="3"/>
      <c r="Z4464" s="3"/>
      <c r="AA4464" s="3"/>
      <c r="AB4464" s="3"/>
    </row>
    <row r="4465" spans="1:28" x14ac:dyDescent="0.3">
      <c r="A4465" s="2"/>
      <c r="F4465" s="3"/>
      <c r="G4465" s="3"/>
      <c r="N4465" s="3"/>
      <c r="Q4465" s="3"/>
      <c r="R4465" s="3"/>
      <c r="S4465" s="3"/>
      <c r="V4465" s="3"/>
      <c r="W4465" s="3"/>
      <c r="X4465" s="3"/>
      <c r="Y4465" s="3"/>
      <c r="Z4465" s="3"/>
      <c r="AA4465" s="3"/>
      <c r="AB4465" s="3"/>
    </row>
    <row r="4466" spans="1:28" x14ac:dyDescent="0.3">
      <c r="A4466" s="2"/>
      <c r="F4466" s="3"/>
      <c r="G4466" s="3"/>
      <c r="N4466" s="3"/>
      <c r="Q4466" s="3"/>
      <c r="R4466" s="3"/>
      <c r="S4466" s="3"/>
      <c r="V4466" s="3"/>
      <c r="W4466" s="3"/>
      <c r="X4466" s="3"/>
      <c r="Y4466" s="3"/>
      <c r="Z4466" s="3"/>
      <c r="AA4466" s="3"/>
      <c r="AB4466" s="3"/>
    </row>
    <row r="4467" spans="1:28" x14ac:dyDescent="0.3">
      <c r="A4467" s="2"/>
      <c r="F4467" s="3"/>
      <c r="G4467" s="3"/>
      <c r="N4467" s="3"/>
      <c r="Q4467" s="3"/>
      <c r="R4467" s="3"/>
      <c r="S4467" s="3"/>
      <c r="V4467" s="3"/>
      <c r="W4467" s="3"/>
      <c r="X4467" s="3"/>
      <c r="Y4467" s="3"/>
      <c r="Z4467" s="3"/>
      <c r="AA4467" s="3"/>
      <c r="AB4467" s="3"/>
    </row>
    <row r="4468" spans="1:28" x14ac:dyDescent="0.3">
      <c r="A4468" s="2"/>
      <c r="F4468" s="3"/>
      <c r="G4468" s="3"/>
      <c r="N4468" s="3"/>
      <c r="Q4468" s="3"/>
      <c r="R4468" s="3"/>
      <c r="S4468" s="3"/>
      <c r="V4468" s="3"/>
      <c r="W4468" s="3"/>
      <c r="X4468" s="3"/>
      <c r="Y4468" s="3"/>
      <c r="Z4468" s="3"/>
      <c r="AA4468" s="3"/>
      <c r="AB4468" s="3"/>
    </row>
    <row r="4469" spans="1:28" x14ac:dyDescent="0.3">
      <c r="A4469" s="2"/>
      <c r="F4469" s="3"/>
      <c r="G4469" s="3"/>
      <c r="N4469" s="3"/>
      <c r="Q4469" s="3"/>
      <c r="R4469" s="3"/>
      <c r="S4469" s="3"/>
      <c r="V4469" s="3"/>
      <c r="W4469" s="3"/>
      <c r="X4469" s="3"/>
      <c r="Y4469" s="3"/>
      <c r="Z4469" s="3"/>
      <c r="AA4469" s="3"/>
      <c r="AB4469" s="3"/>
    </row>
    <row r="4470" spans="1:28" x14ac:dyDescent="0.3">
      <c r="A4470" s="2"/>
      <c r="F4470" s="3"/>
      <c r="G4470" s="3"/>
      <c r="N4470" s="3"/>
      <c r="Q4470" s="3"/>
      <c r="R4470" s="3"/>
      <c r="S4470" s="3"/>
      <c r="V4470" s="3"/>
      <c r="W4470" s="3"/>
      <c r="X4470" s="3"/>
      <c r="Y4470" s="3"/>
      <c r="Z4470" s="3"/>
      <c r="AA4470" s="3"/>
      <c r="AB4470" s="3"/>
    </row>
    <row r="4471" spans="1:28" x14ac:dyDescent="0.3">
      <c r="A4471" s="2"/>
      <c r="F4471" s="3"/>
      <c r="G4471" s="3"/>
      <c r="N4471" s="3"/>
      <c r="Q4471" s="3"/>
      <c r="R4471" s="3"/>
      <c r="S4471" s="3"/>
      <c r="V4471" s="3"/>
      <c r="W4471" s="3"/>
      <c r="X4471" s="3"/>
      <c r="Y4471" s="3"/>
      <c r="Z4471" s="3"/>
      <c r="AA4471" s="3"/>
      <c r="AB4471" s="3"/>
    </row>
    <row r="4472" spans="1:28" x14ac:dyDescent="0.3">
      <c r="A4472" s="2"/>
      <c r="F4472" s="3"/>
      <c r="G4472" s="3"/>
      <c r="N4472" s="3"/>
      <c r="Q4472" s="3"/>
      <c r="R4472" s="3"/>
      <c r="S4472" s="3"/>
      <c r="V4472" s="3"/>
      <c r="W4472" s="3"/>
      <c r="X4472" s="3"/>
      <c r="Y4472" s="3"/>
      <c r="Z4472" s="3"/>
      <c r="AA4472" s="3"/>
      <c r="AB4472" s="3"/>
    </row>
    <row r="4473" spans="1:28" x14ac:dyDescent="0.3">
      <c r="A4473" s="2"/>
      <c r="F4473" s="3"/>
      <c r="G4473" s="3"/>
      <c r="N4473" s="3"/>
      <c r="Q4473" s="3"/>
      <c r="R4473" s="3"/>
      <c r="S4473" s="3"/>
      <c r="V4473" s="3"/>
      <c r="W4473" s="3"/>
      <c r="X4473" s="3"/>
      <c r="Y4473" s="3"/>
      <c r="Z4473" s="3"/>
      <c r="AA4473" s="3"/>
      <c r="AB4473" s="3"/>
    </row>
    <row r="4474" spans="1:28" x14ac:dyDescent="0.3">
      <c r="A4474" s="2"/>
      <c r="F4474" s="3"/>
      <c r="G4474" s="3"/>
      <c r="N4474" s="3"/>
      <c r="Q4474" s="3"/>
      <c r="R4474" s="3"/>
      <c r="S4474" s="3"/>
      <c r="V4474" s="3"/>
      <c r="W4474" s="3"/>
      <c r="X4474" s="3"/>
      <c r="Y4474" s="3"/>
      <c r="Z4474" s="3"/>
      <c r="AA4474" s="3"/>
      <c r="AB4474" s="3"/>
    </row>
    <row r="4475" spans="1:28" x14ac:dyDescent="0.3">
      <c r="A4475" s="2"/>
      <c r="F4475" s="3"/>
      <c r="G4475" s="3"/>
      <c r="N4475" s="3"/>
      <c r="Q4475" s="3"/>
      <c r="R4475" s="3"/>
      <c r="S4475" s="3"/>
      <c r="V4475" s="3"/>
      <c r="W4475" s="3"/>
      <c r="X4475" s="3"/>
      <c r="Y4475" s="3"/>
      <c r="Z4475" s="3"/>
      <c r="AA4475" s="3"/>
      <c r="AB4475" s="3"/>
    </row>
    <row r="4476" spans="1:28" x14ac:dyDescent="0.3">
      <c r="A4476" s="2"/>
      <c r="F4476" s="3"/>
      <c r="G4476" s="3"/>
      <c r="N4476" s="3"/>
      <c r="Q4476" s="3"/>
      <c r="R4476" s="3"/>
      <c r="S4476" s="3"/>
      <c r="V4476" s="3"/>
      <c r="W4476" s="3"/>
      <c r="X4476" s="3"/>
      <c r="Y4476" s="3"/>
      <c r="Z4476" s="3"/>
      <c r="AA4476" s="3"/>
      <c r="AB4476" s="3"/>
    </row>
    <row r="4477" spans="1:28" x14ac:dyDescent="0.3">
      <c r="A4477" s="2"/>
      <c r="F4477" s="3"/>
      <c r="G4477" s="3"/>
      <c r="N4477" s="3"/>
      <c r="Q4477" s="3"/>
      <c r="R4477" s="3"/>
      <c r="S4477" s="3"/>
      <c r="V4477" s="3"/>
      <c r="W4477" s="3"/>
      <c r="X4477" s="3"/>
      <c r="Y4477" s="3"/>
      <c r="Z4477" s="3"/>
      <c r="AA4477" s="3"/>
      <c r="AB4477" s="3"/>
    </row>
    <row r="4478" spans="1:28" x14ac:dyDescent="0.3">
      <c r="A4478" s="2"/>
      <c r="F4478" s="3"/>
      <c r="G4478" s="3"/>
      <c r="N4478" s="3"/>
      <c r="Q4478" s="3"/>
      <c r="R4478" s="3"/>
      <c r="S4478" s="3"/>
      <c r="V4478" s="3"/>
      <c r="W4478" s="3"/>
      <c r="X4478" s="3"/>
      <c r="Y4478" s="3"/>
      <c r="Z4478" s="3"/>
      <c r="AA4478" s="3"/>
      <c r="AB4478" s="3"/>
    </row>
    <row r="4479" spans="1:28" x14ac:dyDescent="0.3">
      <c r="A4479" s="2"/>
      <c r="F4479" s="3"/>
      <c r="G4479" s="3"/>
      <c r="N4479" s="3"/>
      <c r="Q4479" s="3"/>
      <c r="R4479" s="3"/>
      <c r="S4479" s="3"/>
      <c r="V4479" s="3"/>
      <c r="W4479" s="3"/>
      <c r="X4479" s="3"/>
      <c r="Y4479" s="3"/>
      <c r="Z4479" s="3"/>
      <c r="AA4479" s="3"/>
      <c r="AB4479" s="3"/>
    </row>
    <row r="4480" spans="1:28" x14ac:dyDescent="0.3">
      <c r="A4480" s="2"/>
      <c r="F4480" s="3"/>
      <c r="G4480" s="3"/>
      <c r="N4480" s="3"/>
      <c r="Q4480" s="3"/>
      <c r="R4480" s="3"/>
      <c r="S4480" s="3"/>
      <c r="V4480" s="3"/>
      <c r="W4480" s="3"/>
      <c r="X4480" s="3"/>
      <c r="Y4480" s="3"/>
      <c r="Z4480" s="3"/>
      <c r="AA4480" s="3"/>
      <c r="AB4480" s="3"/>
    </row>
    <row r="4481" spans="1:28" x14ac:dyDescent="0.3">
      <c r="A4481" s="2"/>
      <c r="F4481" s="3"/>
      <c r="G4481" s="3"/>
      <c r="N4481" s="3"/>
      <c r="Q4481" s="3"/>
      <c r="R4481" s="3"/>
      <c r="S4481" s="3"/>
      <c r="V4481" s="3"/>
      <c r="W4481" s="3"/>
      <c r="X4481" s="3"/>
      <c r="Y4481" s="3"/>
      <c r="Z4481" s="3"/>
      <c r="AA4481" s="3"/>
      <c r="AB4481" s="3"/>
    </row>
    <row r="4482" spans="1:28" x14ac:dyDescent="0.3">
      <c r="A4482" s="2"/>
      <c r="F4482" s="3"/>
      <c r="G4482" s="3"/>
      <c r="N4482" s="3"/>
      <c r="Q4482" s="3"/>
      <c r="R4482" s="3"/>
      <c r="S4482" s="3"/>
      <c r="V4482" s="3"/>
      <c r="W4482" s="3"/>
      <c r="X4482" s="3"/>
      <c r="Y4482" s="3"/>
      <c r="Z4482" s="3"/>
      <c r="AA4482" s="3"/>
      <c r="AB4482" s="3"/>
    </row>
    <row r="4483" spans="1:28" x14ac:dyDescent="0.3">
      <c r="A4483" s="2"/>
      <c r="F4483" s="3"/>
      <c r="G4483" s="3"/>
      <c r="N4483" s="3"/>
      <c r="Q4483" s="3"/>
      <c r="R4483" s="3"/>
      <c r="S4483" s="3"/>
      <c r="V4483" s="3"/>
      <c r="W4483" s="3"/>
      <c r="X4483" s="3"/>
      <c r="Y4483" s="3"/>
      <c r="Z4483" s="3"/>
      <c r="AA4483" s="3"/>
      <c r="AB4483" s="3"/>
    </row>
    <row r="4484" spans="1:28" x14ac:dyDescent="0.3">
      <c r="A4484" s="2"/>
      <c r="F4484" s="3"/>
      <c r="G4484" s="3"/>
      <c r="N4484" s="3"/>
      <c r="Q4484" s="3"/>
      <c r="R4484" s="3"/>
      <c r="S4484" s="3"/>
      <c r="V4484" s="3"/>
      <c r="W4484" s="3"/>
      <c r="X4484" s="3"/>
      <c r="Y4484" s="3"/>
      <c r="Z4484" s="3"/>
      <c r="AA4484" s="3"/>
      <c r="AB4484" s="3"/>
    </row>
    <row r="4485" spans="1:28" x14ac:dyDescent="0.3">
      <c r="A4485" s="2"/>
      <c r="F4485" s="3"/>
      <c r="G4485" s="3"/>
      <c r="N4485" s="3"/>
      <c r="Q4485" s="3"/>
      <c r="R4485" s="3"/>
      <c r="S4485" s="3"/>
      <c r="V4485" s="3"/>
      <c r="W4485" s="3"/>
      <c r="X4485" s="3"/>
      <c r="Y4485" s="3"/>
      <c r="Z4485" s="3"/>
      <c r="AA4485" s="3"/>
      <c r="AB4485" s="3"/>
    </row>
    <row r="4486" spans="1:28" x14ac:dyDescent="0.3">
      <c r="A4486" s="2"/>
      <c r="F4486" s="3"/>
      <c r="G4486" s="3"/>
      <c r="N4486" s="3"/>
      <c r="Q4486" s="3"/>
      <c r="R4486" s="3"/>
      <c r="S4486" s="3"/>
      <c r="V4486" s="3"/>
      <c r="W4486" s="3"/>
      <c r="X4486" s="3"/>
      <c r="Y4486" s="3"/>
      <c r="Z4486" s="3"/>
      <c r="AA4486" s="3"/>
      <c r="AB4486" s="3"/>
    </row>
    <row r="4487" spans="1:28" x14ac:dyDescent="0.3">
      <c r="A4487" s="2"/>
      <c r="F4487" s="3"/>
      <c r="G4487" s="3"/>
      <c r="N4487" s="3"/>
      <c r="Q4487" s="3"/>
      <c r="R4487" s="3"/>
      <c r="S4487" s="3"/>
      <c r="V4487" s="3"/>
      <c r="W4487" s="3"/>
      <c r="X4487" s="3"/>
      <c r="Y4487" s="3"/>
      <c r="Z4487" s="3"/>
      <c r="AA4487" s="3"/>
      <c r="AB4487" s="3"/>
    </row>
    <row r="4488" spans="1:28" x14ac:dyDescent="0.3">
      <c r="A4488" s="2"/>
      <c r="F4488" s="3"/>
      <c r="G4488" s="3"/>
      <c r="N4488" s="3"/>
      <c r="Q4488" s="3"/>
      <c r="R4488" s="3"/>
      <c r="S4488" s="3"/>
      <c r="V4488" s="3"/>
      <c r="W4488" s="3"/>
      <c r="X4488" s="3"/>
      <c r="Y4488" s="3"/>
      <c r="Z4488" s="3"/>
      <c r="AA4488" s="3"/>
      <c r="AB4488" s="3"/>
    </row>
    <row r="4489" spans="1:28" x14ac:dyDescent="0.3">
      <c r="A4489" s="2"/>
      <c r="F4489" s="3"/>
      <c r="G4489" s="3"/>
      <c r="N4489" s="3"/>
      <c r="Q4489" s="3"/>
      <c r="R4489" s="3"/>
      <c r="S4489" s="3"/>
      <c r="V4489" s="3"/>
      <c r="W4489" s="3"/>
      <c r="X4489" s="3"/>
      <c r="Y4489" s="3"/>
      <c r="Z4489" s="3"/>
      <c r="AA4489" s="3"/>
      <c r="AB4489" s="3"/>
    </row>
    <row r="4490" spans="1:28" x14ac:dyDescent="0.3">
      <c r="A4490" s="2"/>
      <c r="F4490" s="3"/>
      <c r="G4490" s="3"/>
      <c r="N4490" s="3"/>
      <c r="Q4490" s="3"/>
      <c r="R4490" s="3"/>
      <c r="S4490" s="3"/>
      <c r="V4490" s="3"/>
      <c r="W4490" s="3"/>
      <c r="X4490" s="3"/>
      <c r="Y4490" s="3"/>
      <c r="Z4490" s="3"/>
      <c r="AA4490" s="3"/>
      <c r="AB4490" s="3"/>
    </row>
    <row r="4491" spans="1:28" x14ac:dyDescent="0.3">
      <c r="A4491" s="2"/>
      <c r="F4491" s="3"/>
      <c r="G4491" s="3"/>
      <c r="N4491" s="3"/>
      <c r="Q4491" s="3"/>
      <c r="R4491" s="3"/>
      <c r="S4491" s="3"/>
      <c r="V4491" s="3"/>
      <c r="W4491" s="3"/>
      <c r="X4491" s="3"/>
      <c r="Y4491" s="3"/>
      <c r="Z4491" s="3"/>
      <c r="AA4491" s="3"/>
      <c r="AB4491" s="3"/>
    </row>
    <row r="4492" spans="1:28" x14ac:dyDescent="0.3">
      <c r="A4492" s="2"/>
      <c r="F4492" s="3"/>
      <c r="G4492" s="3"/>
      <c r="N4492" s="3"/>
      <c r="Q4492" s="3"/>
      <c r="R4492" s="3"/>
      <c r="S4492" s="3"/>
      <c r="V4492" s="3"/>
      <c r="W4492" s="3"/>
      <c r="X4492" s="3"/>
      <c r="Y4492" s="3"/>
      <c r="Z4492" s="3"/>
      <c r="AA4492" s="3"/>
      <c r="AB4492" s="3"/>
    </row>
    <row r="4493" spans="1:28" x14ac:dyDescent="0.3">
      <c r="A4493" s="2"/>
      <c r="F4493" s="3"/>
      <c r="G4493" s="3"/>
      <c r="N4493" s="3"/>
      <c r="Q4493" s="3"/>
      <c r="R4493" s="3"/>
      <c r="S4493" s="3"/>
      <c r="V4493" s="3"/>
      <c r="W4493" s="3"/>
      <c r="X4493" s="3"/>
      <c r="Y4493" s="3"/>
      <c r="Z4493" s="3"/>
      <c r="AA4493" s="3"/>
      <c r="AB4493" s="3"/>
    </row>
    <row r="4494" spans="1:28" x14ac:dyDescent="0.3">
      <c r="A4494" s="2"/>
      <c r="F4494" s="3"/>
      <c r="G4494" s="3"/>
      <c r="N4494" s="3"/>
      <c r="Q4494" s="3"/>
      <c r="R4494" s="3"/>
      <c r="S4494" s="3"/>
      <c r="V4494" s="3"/>
      <c r="W4494" s="3"/>
      <c r="X4494" s="3"/>
      <c r="Y4494" s="3"/>
      <c r="Z4494" s="3"/>
      <c r="AA4494" s="3"/>
      <c r="AB4494" s="3"/>
    </row>
    <row r="4495" spans="1:28" x14ac:dyDescent="0.3">
      <c r="A4495" s="2"/>
      <c r="F4495" s="3"/>
      <c r="G4495" s="3"/>
      <c r="N4495" s="3"/>
      <c r="Q4495" s="3"/>
      <c r="R4495" s="3"/>
      <c r="S4495" s="3"/>
      <c r="V4495" s="3"/>
      <c r="W4495" s="3"/>
      <c r="X4495" s="3"/>
      <c r="Y4495" s="3"/>
      <c r="Z4495" s="3"/>
      <c r="AA4495" s="3"/>
      <c r="AB4495" s="3"/>
    </row>
    <row r="4496" spans="1:28" x14ac:dyDescent="0.3">
      <c r="A4496" s="2"/>
      <c r="F4496" s="3"/>
      <c r="G4496" s="3"/>
      <c r="N4496" s="3"/>
      <c r="Q4496" s="3"/>
      <c r="R4496" s="3"/>
      <c r="S4496" s="3"/>
      <c r="V4496" s="3"/>
      <c r="W4496" s="3"/>
      <c r="X4496" s="3"/>
      <c r="Y4496" s="3"/>
      <c r="Z4496" s="3"/>
      <c r="AA4496" s="3"/>
      <c r="AB4496" s="3"/>
    </row>
    <row r="4497" spans="1:28" x14ac:dyDescent="0.3">
      <c r="A4497" s="2"/>
      <c r="F4497" s="3"/>
      <c r="G4497" s="3"/>
      <c r="N4497" s="3"/>
      <c r="Q4497" s="3"/>
      <c r="R4497" s="3"/>
      <c r="S4497" s="3"/>
      <c r="V4497" s="3"/>
      <c r="W4497" s="3"/>
      <c r="X4497" s="3"/>
      <c r="Y4497" s="3"/>
      <c r="Z4497" s="3"/>
      <c r="AA4497" s="3"/>
      <c r="AB4497" s="3"/>
    </row>
    <row r="4498" spans="1:28" x14ac:dyDescent="0.3">
      <c r="A4498" s="2"/>
      <c r="F4498" s="3"/>
      <c r="G4498" s="3"/>
      <c r="N4498" s="3"/>
      <c r="Q4498" s="3"/>
      <c r="R4498" s="3"/>
      <c r="S4498" s="3"/>
      <c r="V4498" s="3"/>
      <c r="W4498" s="3"/>
      <c r="X4498" s="3"/>
      <c r="Y4498" s="3"/>
      <c r="Z4498" s="3"/>
      <c r="AA4498" s="3"/>
      <c r="AB4498" s="3"/>
    </row>
    <row r="4499" spans="1:28" x14ac:dyDescent="0.3">
      <c r="A4499" s="2"/>
      <c r="F4499" s="3"/>
      <c r="G4499" s="3"/>
      <c r="N4499" s="3"/>
      <c r="Q4499" s="3"/>
      <c r="R4499" s="3"/>
      <c r="S4499" s="3"/>
      <c r="V4499" s="3"/>
      <c r="W4499" s="3"/>
      <c r="X4499" s="3"/>
      <c r="Y4499" s="3"/>
      <c r="Z4499" s="3"/>
      <c r="AA4499" s="3"/>
      <c r="AB4499" s="3"/>
    </row>
    <row r="4500" spans="1:28" x14ac:dyDescent="0.3">
      <c r="A4500" s="2"/>
      <c r="F4500" s="3"/>
      <c r="G4500" s="3"/>
      <c r="N4500" s="3"/>
      <c r="Q4500" s="3"/>
      <c r="R4500" s="3"/>
      <c r="S4500" s="3"/>
      <c r="V4500" s="3"/>
      <c r="W4500" s="3"/>
      <c r="X4500" s="3"/>
      <c r="Y4500" s="3"/>
      <c r="Z4500" s="3"/>
      <c r="AA4500" s="3"/>
      <c r="AB4500" s="3"/>
    </row>
    <row r="4501" spans="1:28" x14ac:dyDescent="0.3">
      <c r="A4501" s="2"/>
      <c r="F4501" s="3"/>
      <c r="G4501" s="3"/>
      <c r="N4501" s="3"/>
      <c r="Q4501" s="3"/>
      <c r="R4501" s="3"/>
      <c r="S4501" s="3"/>
      <c r="V4501" s="3"/>
      <c r="W4501" s="3"/>
      <c r="X4501" s="3"/>
      <c r="Y4501" s="3"/>
      <c r="Z4501" s="3"/>
      <c r="AA4501" s="3"/>
      <c r="AB4501" s="3"/>
    </row>
    <row r="4502" spans="1:28" x14ac:dyDescent="0.3">
      <c r="A4502" s="2"/>
      <c r="F4502" s="3"/>
      <c r="G4502" s="3"/>
      <c r="N4502" s="3"/>
      <c r="Q4502" s="3"/>
      <c r="R4502" s="3"/>
      <c r="S4502" s="3"/>
      <c r="V4502" s="3"/>
      <c r="W4502" s="3"/>
      <c r="X4502" s="3"/>
      <c r="Y4502" s="3"/>
      <c r="Z4502" s="3"/>
      <c r="AA4502" s="3"/>
      <c r="AB4502" s="3"/>
    </row>
    <row r="4503" spans="1:28" x14ac:dyDescent="0.3">
      <c r="A4503" s="2"/>
      <c r="F4503" s="3"/>
      <c r="G4503" s="3"/>
      <c r="N4503" s="3"/>
      <c r="Q4503" s="3"/>
      <c r="R4503" s="3"/>
      <c r="S4503" s="3"/>
      <c r="V4503" s="3"/>
      <c r="W4503" s="3"/>
      <c r="X4503" s="3"/>
      <c r="Y4503" s="3"/>
      <c r="Z4503" s="3"/>
      <c r="AA4503" s="3"/>
      <c r="AB4503" s="3"/>
    </row>
    <row r="4504" spans="1:28" x14ac:dyDescent="0.3">
      <c r="A4504" s="2"/>
      <c r="F4504" s="3"/>
      <c r="G4504" s="3"/>
      <c r="N4504" s="3"/>
      <c r="Q4504" s="3"/>
      <c r="R4504" s="3"/>
      <c r="S4504" s="3"/>
      <c r="V4504" s="3"/>
      <c r="W4504" s="3"/>
      <c r="X4504" s="3"/>
      <c r="Y4504" s="3"/>
      <c r="Z4504" s="3"/>
      <c r="AA4504" s="3"/>
      <c r="AB4504" s="3"/>
    </row>
    <row r="4505" spans="1:28" x14ac:dyDescent="0.3">
      <c r="A4505" s="2"/>
      <c r="F4505" s="3"/>
      <c r="G4505" s="3"/>
      <c r="N4505" s="3"/>
      <c r="Q4505" s="3"/>
      <c r="R4505" s="3"/>
      <c r="S4505" s="3"/>
      <c r="V4505" s="3"/>
      <c r="W4505" s="3"/>
      <c r="X4505" s="3"/>
      <c r="Y4505" s="3"/>
      <c r="Z4505" s="3"/>
      <c r="AA4505" s="3"/>
      <c r="AB4505" s="3"/>
    </row>
    <row r="4506" spans="1:28" x14ac:dyDescent="0.3">
      <c r="A4506" s="2"/>
      <c r="F4506" s="3"/>
      <c r="G4506" s="3"/>
      <c r="N4506" s="3"/>
      <c r="Q4506" s="3"/>
      <c r="R4506" s="3"/>
      <c r="S4506" s="3"/>
      <c r="V4506" s="3"/>
      <c r="W4506" s="3"/>
      <c r="X4506" s="3"/>
      <c r="Y4506" s="3"/>
      <c r="Z4506" s="3"/>
      <c r="AA4506" s="3"/>
      <c r="AB4506" s="3"/>
    </row>
    <row r="4507" spans="1:28" x14ac:dyDescent="0.3">
      <c r="A4507" s="2"/>
      <c r="F4507" s="3"/>
      <c r="G4507" s="3"/>
      <c r="N4507" s="3"/>
      <c r="Q4507" s="3"/>
      <c r="R4507" s="3"/>
      <c r="S4507" s="3"/>
      <c r="V4507" s="3"/>
      <c r="W4507" s="3"/>
      <c r="X4507" s="3"/>
      <c r="Y4507" s="3"/>
      <c r="Z4507" s="3"/>
      <c r="AA4507" s="3"/>
      <c r="AB4507" s="3"/>
    </row>
    <row r="4508" spans="1:28" x14ac:dyDescent="0.3">
      <c r="A4508" s="2"/>
      <c r="F4508" s="3"/>
      <c r="G4508" s="3"/>
      <c r="N4508" s="3"/>
      <c r="Q4508" s="3"/>
      <c r="R4508" s="3"/>
      <c r="S4508" s="3"/>
      <c r="V4508" s="3"/>
      <c r="W4508" s="3"/>
      <c r="X4508" s="3"/>
      <c r="Y4508" s="3"/>
      <c r="Z4508" s="3"/>
      <c r="AA4508" s="3"/>
      <c r="AB4508" s="3"/>
    </row>
    <row r="4509" spans="1:28" x14ac:dyDescent="0.3">
      <c r="A4509" s="2"/>
      <c r="F4509" s="3"/>
      <c r="G4509" s="3"/>
      <c r="N4509" s="3"/>
      <c r="Q4509" s="3"/>
      <c r="R4509" s="3"/>
      <c r="S4509" s="3"/>
      <c r="V4509" s="3"/>
      <c r="W4509" s="3"/>
      <c r="X4509" s="3"/>
      <c r="Y4509" s="3"/>
      <c r="Z4509" s="3"/>
      <c r="AA4509" s="3"/>
      <c r="AB4509" s="3"/>
    </row>
    <row r="4510" spans="1:28" x14ac:dyDescent="0.3">
      <c r="A4510" s="2"/>
      <c r="F4510" s="3"/>
      <c r="G4510" s="3"/>
      <c r="N4510" s="3"/>
      <c r="Q4510" s="3"/>
      <c r="R4510" s="3"/>
      <c r="S4510" s="3"/>
      <c r="V4510" s="3"/>
      <c r="W4510" s="3"/>
      <c r="X4510" s="3"/>
      <c r="Y4510" s="3"/>
      <c r="Z4510" s="3"/>
      <c r="AA4510" s="3"/>
      <c r="AB4510" s="3"/>
    </row>
    <row r="4511" spans="1:28" x14ac:dyDescent="0.3">
      <c r="A4511" s="2"/>
      <c r="F4511" s="3"/>
      <c r="G4511" s="3"/>
      <c r="N4511" s="3"/>
      <c r="Q4511" s="3"/>
      <c r="R4511" s="3"/>
      <c r="S4511" s="3"/>
      <c r="V4511" s="3"/>
      <c r="W4511" s="3"/>
      <c r="X4511" s="3"/>
      <c r="Y4511" s="3"/>
      <c r="Z4511" s="3"/>
      <c r="AA4511" s="3"/>
      <c r="AB4511" s="3"/>
    </row>
    <row r="4512" spans="1:28" x14ac:dyDescent="0.3">
      <c r="A4512" s="2"/>
      <c r="F4512" s="3"/>
      <c r="G4512" s="3"/>
      <c r="N4512" s="3"/>
      <c r="Q4512" s="3"/>
      <c r="R4512" s="3"/>
      <c r="S4512" s="3"/>
      <c r="V4512" s="3"/>
      <c r="W4512" s="3"/>
      <c r="X4512" s="3"/>
      <c r="Y4512" s="3"/>
      <c r="Z4512" s="3"/>
      <c r="AA4512" s="3"/>
      <c r="AB4512" s="3"/>
    </row>
    <row r="4513" spans="1:28" x14ac:dyDescent="0.3">
      <c r="A4513" s="2"/>
      <c r="F4513" s="3"/>
      <c r="G4513" s="3"/>
      <c r="N4513" s="3"/>
      <c r="Q4513" s="3"/>
      <c r="R4513" s="3"/>
      <c r="S4513" s="3"/>
      <c r="V4513" s="3"/>
      <c r="W4513" s="3"/>
      <c r="X4513" s="3"/>
      <c r="Y4513" s="3"/>
      <c r="Z4513" s="3"/>
      <c r="AA4513" s="3"/>
      <c r="AB4513" s="3"/>
    </row>
    <row r="4514" spans="1:28" x14ac:dyDescent="0.3">
      <c r="A4514" s="2"/>
      <c r="F4514" s="3"/>
      <c r="G4514" s="3"/>
      <c r="N4514" s="3"/>
      <c r="Q4514" s="3"/>
      <c r="R4514" s="3"/>
      <c r="S4514" s="3"/>
      <c r="V4514" s="3"/>
      <c r="W4514" s="3"/>
      <c r="X4514" s="3"/>
      <c r="Y4514" s="3"/>
      <c r="Z4514" s="3"/>
      <c r="AA4514" s="3"/>
      <c r="AB4514" s="3"/>
    </row>
    <row r="4515" spans="1:28" x14ac:dyDescent="0.3">
      <c r="A4515" s="2"/>
      <c r="F4515" s="3"/>
      <c r="G4515" s="3"/>
      <c r="N4515" s="3"/>
      <c r="Q4515" s="3"/>
      <c r="R4515" s="3"/>
      <c r="S4515" s="3"/>
      <c r="V4515" s="3"/>
      <c r="W4515" s="3"/>
      <c r="X4515" s="3"/>
      <c r="Y4515" s="3"/>
      <c r="Z4515" s="3"/>
      <c r="AA4515" s="3"/>
      <c r="AB4515" s="3"/>
    </row>
    <row r="4516" spans="1:28" x14ac:dyDescent="0.3">
      <c r="A4516" s="2"/>
      <c r="F4516" s="3"/>
      <c r="G4516" s="3"/>
      <c r="N4516" s="3"/>
      <c r="Q4516" s="3"/>
      <c r="R4516" s="3"/>
      <c r="S4516" s="3"/>
      <c r="V4516" s="3"/>
      <c r="W4516" s="3"/>
      <c r="X4516" s="3"/>
      <c r="Y4516" s="3"/>
      <c r="Z4516" s="3"/>
      <c r="AA4516" s="3"/>
      <c r="AB4516" s="3"/>
    </row>
    <row r="4517" spans="1:28" x14ac:dyDescent="0.3">
      <c r="A4517" s="2"/>
      <c r="F4517" s="3"/>
      <c r="G4517" s="3"/>
      <c r="N4517" s="3"/>
      <c r="Q4517" s="3"/>
      <c r="R4517" s="3"/>
      <c r="S4517" s="3"/>
      <c r="V4517" s="3"/>
      <c r="W4517" s="3"/>
      <c r="X4517" s="3"/>
      <c r="Y4517" s="3"/>
      <c r="Z4517" s="3"/>
      <c r="AA4517" s="3"/>
      <c r="AB4517" s="3"/>
    </row>
    <row r="4518" spans="1:28" x14ac:dyDescent="0.3">
      <c r="A4518" s="2"/>
      <c r="F4518" s="3"/>
      <c r="G4518" s="3"/>
      <c r="N4518" s="3"/>
      <c r="Q4518" s="3"/>
      <c r="R4518" s="3"/>
      <c r="S4518" s="3"/>
      <c r="V4518" s="3"/>
      <c r="W4518" s="3"/>
      <c r="X4518" s="3"/>
      <c r="Y4518" s="3"/>
      <c r="Z4518" s="3"/>
      <c r="AA4518" s="3"/>
      <c r="AB4518" s="3"/>
    </row>
    <row r="4519" spans="1:28" x14ac:dyDescent="0.3">
      <c r="A4519" s="2"/>
      <c r="F4519" s="3"/>
      <c r="G4519" s="3"/>
      <c r="N4519" s="3"/>
      <c r="Q4519" s="3"/>
      <c r="R4519" s="3"/>
      <c r="S4519" s="3"/>
      <c r="V4519" s="3"/>
      <c r="W4519" s="3"/>
      <c r="X4519" s="3"/>
      <c r="Y4519" s="3"/>
      <c r="Z4519" s="3"/>
      <c r="AA4519" s="3"/>
      <c r="AB4519" s="3"/>
    </row>
    <row r="4520" spans="1:28" x14ac:dyDescent="0.3">
      <c r="A4520" s="2"/>
      <c r="F4520" s="3"/>
      <c r="G4520" s="3"/>
      <c r="N4520" s="3"/>
      <c r="Q4520" s="3"/>
      <c r="R4520" s="3"/>
      <c r="S4520" s="3"/>
      <c r="V4520" s="3"/>
      <c r="W4520" s="3"/>
      <c r="X4520" s="3"/>
      <c r="Y4520" s="3"/>
      <c r="Z4520" s="3"/>
      <c r="AA4520" s="3"/>
      <c r="AB4520" s="3"/>
    </row>
    <row r="4521" spans="1:28" x14ac:dyDescent="0.3">
      <c r="A4521" s="2"/>
      <c r="F4521" s="3"/>
      <c r="G4521" s="3"/>
      <c r="N4521" s="3"/>
      <c r="Q4521" s="3"/>
      <c r="R4521" s="3"/>
      <c r="S4521" s="3"/>
      <c r="V4521" s="3"/>
      <c r="W4521" s="3"/>
      <c r="X4521" s="3"/>
      <c r="Y4521" s="3"/>
      <c r="Z4521" s="3"/>
      <c r="AA4521" s="3"/>
      <c r="AB4521" s="3"/>
    </row>
    <row r="4522" spans="1:28" x14ac:dyDescent="0.3">
      <c r="A4522" s="2"/>
      <c r="F4522" s="3"/>
      <c r="G4522" s="3"/>
      <c r="N4522" s="3"/>
      <c r="Q4522" s="3"/>
      <c r="R4522" s="3"/>
      <c r="S4522" s="3"/>
      <c r="V4522" s="3"/>
      <c r="W4522" s="3"/>
      <c r="X4522" s="3"/>
      <c r="Y4522" s="3"/>
      <c r="Z4522" s="3"/>
      <c r="AA4522" s="3"/>
      <c r="AB4522" s="3"/>
    </row>
    <row r="4523" spans="1:28" x14ac:dyDescent="0.3">
      <c r="A4523" s="2"/>
      <c r="F4523" s="3"/>
      <c r="G4523" s="3"/>
      <c r="N4523" s="3"/>
      <c r="Q4523" s="3"/>
      <c r="R4523" s="3"/>
      <c r="S4523" s="3"/>
      <c r="V4523" s="3"/>
      <c r="W4523" s="3"/>
      <c r="X4523" s="3"/>
      <c r="Y4523" s="3"/>
      <c r="Z4523" s="3"/>
      <c r="AA4523" s="3"/>
      <c r="AB4523" s="3"/>
    </row>
    <row r="4524" spans="1:28" x14ac:dyDescent="0.3">
      <c r="A4524" s="2"/>
      <c r="F4524" s="3"/>
      <c r="G4524" s="3"/>
      <c r="N4524" s="3"/>
      <c r="Q4524" s="3"/>
      <c r="R4524" s="3"/>
      <c r="S4524" s="3"/>
      <c r="V4524" s="3"/>
      <c r="W4524" s="3"/>
      <c r="X4524" s="3"/>
      <c r="Y4524" s="3"/>
      <c r="Z4524" s="3"/>
      <c r="AA4524" s="3"/>
      <c r="AB4524" s="3"/>
    </row>
    <row r="4525" spans="1:28" x14ac:dyDescent="0.3">
      <c r="A4525" s="2"/>
      <c r="F4525" s="3"/>
      <c r="G4525" s="3"/>
      <c r="N4525" s="3"/>
      <c r="Q4525" s="3"/>
      <c r="R4525" s="3"/>
      <c r="S4525" s="3"/>
      <c r="V4525" s="3"/>
      <c r="W4525" s="3"/>
      <c r="X4525" s="3"/>
      <c r="Y4525" s="3"/>
      <c r="Z4525" s="3"/>
      <c r="AA4525" s="3"/>
      <c r="AB4525" s="3"/>
    </row>
    <row r="4526" spans="1:28" x14ac:dyDescent="0.3">
      <c r="A4526" s="2"/>
      <c r="F4526" s="3"/>
      <c r="G4526" s="3"/>
      <c r="N4526" s="3"/>
      <c r="Q4526" s="3"/>
      <c r="R4526" s="3"/>
      <c r="S4526" s="3"/>
      <c r="V4526" s="3"/>
      <c r="W4526" s="3"/>
      <c r="X4526" s="3"/>
      <c r="Y4526" s="3"/>
      <c r="Z4526" s="3"/>
      <c r="AA4526" s="3"/>
      <c r="AB4526" s="3"/>
    </row>
    <row r="4527" spans="1:28" x14ac:dyDescent="0.3">
      <c r="A4527" s="2"/>
      <c r="F4527" s="3"/>
      <c r="G4527" s="3"/>
      <c r="N4527" s="3"/>
      <c r="Q4527" s="3"/>
      <c r="R4527" s="3"/>
      <c r="S4527" s="3"/>
      <c r="V4527" s="3"/>
      <c r="W4527" s="3"/>
      <c r="X4527" s="3"/>
      <c r="Y4527" s="3"/>
      <c r="Z4527" s="3"/>
      <c r="AA4527" s="3"/>
      <c r="AB4527" s="3"/>
    </row>
    <row r="4528" spans="1:28" x14ac:dyDescent="0.3">
      <c r="A4528" s="2"/>
      <c r="F4528" s="3"/>
      <c r="G4528" s="3"/>
      <c r="N4528" s="3"/>
      <c r="Q4528" s="3"/>
      <c r="R4528" s="3"/>
      <c r="S4528" s="3"/>
      <c r="V4528" s="3"/>
      <c r="W4528" s="3"/>
      <c r="X4528" s="3"/>
      <c r="Y4528" s="3"/>
      <c r="Z4528" s="3"/>
      <c r="AA4528" s="3"/>
      <c r="AB4528" s="3"/>
    </row>
    <row r="4529" spans="1:28" x14ac:dyDescent="0.3">
      <c r="A4529" s="2"/>
      <c r="F4529" s="3"/>
      <c r="G4529" s="3"/>
      <c r="N4529" s="3"/>
      <c r="Q4529" s="3"/>
      <c r="R4529" s="3"/>
      <c r="S4529" s="3"/>
      <c r="V4529" s="3"/>
      <c r="W4529" s="3"/>
      <c r="X4529" s="3"/>
      <c r="Y4529" s="3"/>
      <c r="Z4529" s="3"/>
      <c r="AA4529" s="3"/>
      <c r="AB4529" s="3"/>
    </row>
    <row r="4530" spans="1:28" x14ac:dyDescent="0.3">
      <c r="A4530" s="2"/>
      <c r="F4530" s="3"/>
      <c r="G4530" s="3"/>
      <c r="N4530" s="3"/>
      <c r="Q4530" s="3"/>
      <c r="R4530" s="3"/>
      <c r="S4530" s="3"/>
      <c r="V4530" s="3"/>
      <c r="W4530" s="3"/>
      <c r="X4530" s="3"/>
      <c r="Y4530" s="3"/>
      <c r="Z4530" s="3"/>
      <c r="AA4530" s="3"/>
      <c r="AB4530" s="3"/>
    </row>
    <row r="4531" spans="1:28" x14ac:dyDescent="0.3">
      <c r="A4531" s="2"/>
      <c r="F4531" s="3"/>
      <c r="G4531" s="3"/>
      <c r="N4531" s="3"/>
      <c r="Q4531" s="3"/>
      <c r="R4531" s="3"/>
      <c r="S4531" s="3"/>
      <c r="V4531" s="3"/>
      <c r="W4531" s="3"/>
      <c r="X4531" s="3"/>
      <c r="Y4531" s="3"/>
      <c r="Z4531" s="3"/>
      <c r="AA4531" s="3"/>
      <c r="AB4531" s="3"/>
    </row>
    <row r="4532" spans="1:28" x14ac:dyDescent="0.3">
      <c r="A4532" s="2"/>
      <c r="F4532" s="3"/>
      <c r="G4532" s="3"/>
      <c r="N4532" s="3"/>
      <c r="Q4532" s="3"/>
      <c r="R4532" s="3"/>
      <c r="S4532" s="3"/>
      <c r="V4532" s="3"/>
      <c r="W4532" s="3"/>
      <c r="X4532" s="3"/>
      <c r="Y4532" s="3"/>
      <c r="Z4532" s="3"/>
      <c r="AA4532" s="3"/>
      <c r="AB4532" s="3"/>
    </row>
    <row r="4533" spans="1:28" x14ac:dyDescent="0.3">
      <c r="A4533" s="2"/>
      <c r="F4533" s="3"/>
      <c r="G4533" s="3"/>
      <c r="N4533" s="3"/>
      <c r="Q4533" s="3"/>
      <c r="R4533" s="3"/>
      <c r="S4533" s="3"/>
      <c r="V4533" s="3"/>
      <c r="W4533" s="3"/>
      <c r="X4533" s="3"/>
      <c r="Y4533" s="3"/>
      <c r="Z4533" s="3"/>
      <c r="AA4533" s="3"/>
      <c r="AB4533" s="3"/>
    </row>
    <row r="4534" spans="1:28" x14ac:dyDescent="0.3">
      <c r="A4534" s="2"/>
      <c r="F4534" s="3"/>
      <c r="G4534" s="3"/>
      <c r="N4534" s="3"/>
      <c r="Q4534" s="3"/>
      <c r="R4534" s="3"/>
      <c r="S4534" s="3"/>
      <c r="V4534" s="3"/>
      <c r="W4534" s="3"/>
      <c r="X4534" s="3"/>
      <c r="Y4534" s="3"/>
      <c r="Z4534" s="3"/>
      <c r="AA4534" s="3"/>
      <c r="AB4534" s="3"/>
    </row>
    <row r="4535" spans="1:28" x14ac:dyDescent="0.3">
      <c r="A4535" s="2"/>
      <c r="F4535" s="3"/>
      <c r="G4535" s="3"/>
      <c r="N4535" s="3"/>
      <c r="Q4535" s="3"/>
      <c r="R4535" s="3"/>
      <c r="S4535" s="3"/>
      <c r="V4535" s="3"/>
      <c r="W4535" s="3"/>
      <c r="X4535" s="3"/>
      <c r="Y4535" s="3"/>
      <c r="Z4535" s="3"/>
      <c r="AA4535" s="3"/>
      <c r="AB4535" s="3"/>
    </row>
    <row r="4536" spans="1:28" x14ac:dyDescent="0.3">
      <c r="A4536" s="2"/>
      <c r="F4536" s="3"/>
      <c r="G4536" s="3"/>
      <c r="N4536" s="3"/>
      <c r="Q4536" s="3"/>
      <c r="R4536" s="3"/>
      <c r="S4536" s="3"/>
      <c r="V4536" s="3"/>
      <c r="W4536" s="3"/>
      <c r="X4536" s="3"/>
      <c r="Y4536" s="3"/>
      <c r="Z4536" s="3"/>
      <c r="AA4536" s="3"/>
      <c r="AB4536" s="3"/>
    </row>
    <row r="4537" spans="1:28" x14ac:dyDescent="0.3">
      <c r="A4537" s="2"/>
      <c r="F4537" s="3"/>
      <c r="G4537" s="3"/>
      <c r="N4537" s="3"/>
      <c r="Q4537" s="3"/>
      <c r="R4537" s="3"/>
      <c r="S4537" s="3"/>
      <c r="V4537" s="3"/>
      <c r="W4537" s="3"/>
      <c r="X4537" s="3"/>
      <c r="Y4537" s="3"/>
      <c r="Z4537" s="3"/>
      <c r="AA4537" s="3"/>
      <c r="AB4537" s="3"/>
    </row>
    <row r="4538" spans="1:28" x14ac:dyDescent="0.3">
      <c r="A4538" s="2"/>
      <c r="F4538" s="3"/>
      <c r="G4538" s="3"/>
      <c r="N4538" s="3"/>
      <c r="Q4538" s="3"/>
      <c r="R4538" s="3"/>
      <c r="S4538" s="3"/>
      <c r="V4538" s="3"/>
      <c r="W4538" s="3"/>
      <c r="X4538" s="3"/>
      <c r="Y4538" s="3"/>
      <c r="Z4538" s="3"/>
      <c r="AA4538" s="3"/>
      <c r="AB4538" s="3"/>
    </row>
    <row r="4539" spans="1:28" x14ac:dyDescent="0.3">
      <c r="A4539" s="2"/>
      <c r="F4539" s="3"/>
      <c r="G4539" s="3"/>
      <c r="N4539" s="3"/>
      <c r="Q4539" s="3"/>
      <c r="R4539" s="3"/>
      <c r="S4539" s="3"/>
      <c r="V4539" s="3"/>
      <c r="W4539" s="3"/>
      <c r="X4539" s="3"/>
      <c r="Y4539" s="3"/>
      <c r="Z4539" s="3"/>
      <c r="AA4539" s="3"/>
      <c r="AB4539" s="3"/>
    </row>
    <row r="4540" spans="1:28" x14ac:dyDescent="0.3">
      <c r="A4540" s="2"/>
      <c r="F4540" s="3"/>
      <c r="G4540" s="3"/>
      <c r="N4540" s="3"/>
      <c r="Q4540" s="3"/>
      <c r="R4540" s="3"/>
      <c r="S4540" s="3"/>
      <c r="V4540" s="3"/>
      <c r="W4540" s="3"/>
      <c r="X4540" s="3"/>
      <c r="Y4540" s="3"/>
      <c r="Z4540" s="3"/>
      <c r="AA4540" s="3"/>
      <c r="AB4540" s="3"/>
    </row>
    <row r="4541" spans="1:28" x14ac:dyDescent="0.3">
      <c r="A4541" s="2"/>
      <c r="F4541" s="3"/>
      <c r="G4541" s="3"/>
      <c r="N4541" s="3"/>
      <c r="Q4541" s="3"/>
      <c r="R4541" s="3"/>
      <c r="S4541" s="3"/>
      <c r="V4541" s="3"/>
      <c r="W4541" s="3"/>
      <c r="X4541" s="3"/>
      <c r="Y4541" s="3"/>
      <c r="Z4541" s="3"/>
      <c r="AA4541" s="3"/>
      <c r="AB4541" s="3"/>
    </row>
    <row r="4542" spans="1:28" x14ac:dyDescent="0.3">
      <c r="A4542" s="2"/>
      <c r="F4542" s="3"/>
      <c r="G4542" s="3"/>
      <c r="N4542" s="3"/>
      <c r="Q4542" s="3"/>
      <c r="R4542" s="3"/>
      <c r="S4542" s="3"/>
      <c r="V4542" s="3"/>
      <c r="W4542" s="3"/>
      <c r="X4542" s="3"/>
      <c r="Y4542" s="3"/>
      <c r="Z4542" s="3"/>
      <c r="AA4542" s="3"/>
      <c r="AB4542" s="3"/>
    </row>
    <row r="4543" spans="1:28" x14ac:dyDescent="0.3">
      <c r="A4543" s="2"/>
      <c r="F4543" s="3"/>
      <c r="G4543" s="3"/>
      <c r="N4543" s="3"/>
      <c r="Q4543" s="3"/>
      <c r="R4543" s="3"/>
      <c r="S4543" s="3"/>
      <c r="V4543" s="3"/>
      <c r="W4543" s="3"/>
      <c r="X4543" s="3"/>
      <c r="Y4543" s="3"/>
      <c r="Z4543" s="3"/>
      <c r="AA4543" s="3"/>
      <c r="AB4543" s="3"/>
    </row>
    <row r="4544" spans="1:28" x14ac:dyDescent="0.3">
      <c r="A4544" s="2"/>
      <c r="F4544" s="3"/>
      <c r="G4544" s="3"/>
      <c r="N4544" s="3"/>
      <c r="Q4544" s="3"/>
      <c r="R4544" s="3"/>
      <c r="S4544" s="3"/>
      <c r="V4544" s="3"/>
      <c r="W4544" s="3"/>
      <c r="X4544" s="3"/>
      <c r="Y4544" s="3"/>
      <c r="Z4544" s="3"/>
      <c r="AA4544" s="3"/>
      <c r="AB4544" s="3"/>
    </row>
    <row r="4545" spans="1:28" x14ac:dyDescent="0.3">
      <c r="A4545" s="2"/>
      <c r="F4545" s="3"/>
      <c r="G4545" s="3"/>
      <c r="N4545" s="3"/>
      <c r="Q4545" s="3"/>
      <c r="R4545" s="3"/>
      <c r="S4545" s="3"/>
      <c r="V4545" s="3"/>
      <c r="W4545" s="3"/>
      <c r="X4545" s="3"/>
      <c r="Y4545" s="3"/>
      <c r="Z4545" s="3"/>
      <c r="AA4545" s="3"/>
      <c r="AB4545" s="3"/>
    </row>
    <row r="4546" spans="1:28" x14ac:dyDescent="0.3">
      <c r="A4546" s="2"/>
      <c r="F4546" s="3"/>
      <c r="G4546" s="3"/>
      <c r="N4546" s="3"/>
      <c r="Q4546" s="3"/>
      <c r="R4546" s="3"/>
      <c r="S4546" s="3"/>
      <c r="V4546" s="3"/>
      <c r="W4546" s="3"/>
      <c r="X4546" s="3"/>
      <c r="Y4546" s="3"/>
      <c r="Z4546" s="3"/>
      <c r="AA4546" s="3"/>
      <c r="AB4546" s="3"/>
    </row>
    <row r="4547" spans="1:28" x14ac:dyDescent="0.3">
      <c r="A4547" s="2"/>
      <c r="F4547" s="3"/>
      <c r="G4547" s="3"/>
      <c r="N4547" s="3"/>
      <c r="Q4547" s="3"/>
      <c r="R4547" s="3"/>
      <c r="S4547" s="3"/>
      <c r="V4547" s="3"/>
      <c r="W4547" s="3"/>
      <c r="X4547" s="3"/>
      <c r="Y4547" s="3"/>
      <c r="Z4547" s="3"/>
      <c r="AA4547" s="3"/>
      <c r="AB4547" s="3"/>
    </row>
    <row r="4548" spans="1:28" x14ac:dyDescent="0.3">
      <c r="A4548" s="2"/>
      <c r="F4548" s="3"/>
      <c r="G4548" s="3"/>
      <c r="N4548" s="3"/>
      <c r="Q4548" s="3"/>
      <c r="R4548" s="3"/>
      <c r="S4548" s="3"/>
      <c r="V4548" s="3"/>
      <c r="W4548" s="3"/>
      <c r="X4548" s="3"/>
      <c r="Y4548" s="3"/>
      <c r="Z4548" s="3"/>
      <c r="AA4548" s="3"/>
      <c r="AB4548" s="3"/>
    </row>
    <row r="4549" spans="1:28" x14ac:dyDescent="0.3">
      <c r="A4549" s="2"/>
      <c r="F4549" s="3"/>
      <c r="G4549" s="3"/>
      <c r="N4549" s="3"/>
      <c r="Q4549" s="3"/>
      <c r="R4549" s="3"/>
      <c r="S4549" s="3"/>
      <c r="V4549" s="3"/>
      <c r="W4549" s="3"/>
      <c r="X4549" s="3"/>
      <c r="Y4549" s="3"/>
      <c r="Z4549" s="3"/>
      <c r="AA4549" s="3"/>
      <c r="AB4549" s="3"/>
    </row>
    <row r="4550" spans="1:28" x14ac:dyDescent="0.3">
      <c r="A4550" s="2"/>
      <c r="F4550" s="3"/>
      <c r="G4550" s="3"/>
      <c r="N4550" s="3"/>
      <c r="Q4550" s="3"/>
      <c r="R4550" s="3"/>
      <c r="S4550" s="3"/>
      <c r="V4550" s="3"/>
      <c r="W4550" s="3"/>
      <c r="X4550" s="3"/>
      <c r="Y4550" s="3"/>
      <c r="Z4550" s="3"/>
      <c r="AA4550" s="3"/>
      <c r="AB4550" s="3"/>
    </row>
    <row r="4551" spans="1:28" x14ac:dyDescent="0.3">
      <c r="A4551" s="2"/>
      <c r="F4551" s="3"/>
      <c r="G4551" s="3"/>
      <c r="N4551" s="3"/>
      <c r="Q4551" s="3"/>
      <c r="R4551" s="3"/>
      <c r="S4551" s="3"/>
      <c r="V4551" s="3"/>
      <c r="W4551" s="3"/>
      <c r="X4551" s="3"/>
      <c r="Y4551" s="3"/>
      <c r="Z4551" s="3"/>
      <c r="AA4551" s="3"/>
      <c r="AB4551" s="3"/>
    </row>
    <row r="4552" spans="1:28" x14ac:dyDescent="0.3">
      <c r="A4552" s="2"/>
      <c r="F4552" s="3"/>
      <c r="G4552" s="3"/>
      <c r="N4552" s="3"/>
      <c r="Q4552" s="3"/>
      <c r="R4552" s="3"/>
      <c r="S4552" s="3"/>
      <c r="V4552" s="3"/>
      <c r="W4552" s="3"/>
      <c r="X4552" s="3"/>
      <c r="Y4552" s="3"/>
      <c r="Z4552" s="3"/>
      <c r="AA4552" s="3"/>
      <c r="AB4552" s="3"/>
    </row>
    <row r="4553" spans="1:28" x14ac:dyDescent="0.3">
      <c r="A4553" s="2"/>
      <c r="F4553" s="3"/>
      <c r="G4553" s="3"/>
      <c r="N4553" s="3"/>
      <c r="Q4553" s="3"/>
      <c r="R4553" s="3"/>
      <c r="S4553" s="3"/>
      <c r="V4553" s="3"/>
      <c r="W4553" s="3"/>
      <c r="X4553" s="3"/>
      <c r="Y4553" s="3"/>
      <c r="Z4553" s="3"/>
      <c r="AA4553" s="3"/>
      <c r="AB4553" s="3"/>
    </row>
    <row r="4554" spans="1:28" x14ac:dyDescent="0.3">
      <c r="A4554" s="2"/>
      <c r="F4554" s="3"/>
      <c r="G4554" s="3"/>
      <c r="N4554" s="3"/>
      <c r="Q4554" s="3"/>
      <c r="R4554" s="3"/>
      <c r="S4554" s="3"/>
      <c r="V4554" s="3"/>
      <c r="W4554" s="3"/>
      <c r="X4554" s="3"/>
      <c r="Y4554" s="3"/>
      <c r="Z4554" s="3"/>
      <c r="AA4554" s="3"/>
      <c r="AB4554" s="3"/>
    </row>
    <row r="4555" spans="1:28" x14ac:dyDescent="0.3">
      <c r="A4555" s="2"/>
      <c r="F4555" s="3"/>
      <c r="G4555" s="3"/>
      <c r="N4555" s="3"/>
      <c r="Q4555" s="3"/>
      <c r="R4555" s="3"/>
      <c r="S4555" s="3"/>
      <c r="V4555" s="3"/>
      <c r="W4555" s="3"/>
      <c r="X4555" s="3"/>
      <c r="Y4555" s="3"/>
      <c r="Z4555" s="3"/>
      <c r="AA4555" s="3"/>
      <c r="AB4555" s="3"/>
    </row>
    <row r="4556" spans="1:28" x14ac:dyDescent="0.3">
      <c r="A4556" s="2"/>
      <c r="F4556" s="3"/>
      <c r="G4556" s="3"/>
      <c r="N4556" s="3"/>
      <c r="Q4556" s="3"/>
      <c r="R4556" s="3"/>
      <c r="S4556" s="3"/>
      <c r="V4556" s="3"/>
      <c r="W4556" s="3"/>
      <c r="X4556" s="3"/>
      <c r="Y4556" s="3"/>
      <c r="Z4556" s="3"/>
      <c r="AA4556" s="3"/>
      <c r="AB4556" s="3"/>
    </row>
    <row r="4557" spans="1:28" x14ac:dyDescent="0.3">
      <c r="A4557" s="2"/>
      <c r="F4557" s="3"/>
      <c r="G4557" s="3"/>
      <c r="N4557" s="3"/>
      <c r="Q4557" s="3"/>
      <c r="R4557" s="3"/>
      <c r="S4557" s="3"/>
      <c r="V4557" s="3"/>
      <c r="W4557" s="3"/>
      <c r="X4557" s="3"/>
      <c r="Y4557" s="3"/>
      <c r="Z4557" s="3"/>
      <c r="AA4557" s="3"/>
      <c r="AB4557" s="3"/>
    </row>
    <row r="4558" spans="1:28" x14ac:dyDescent="0.3">
      <c r="A4558" s="2"/>
      <c r="F4558" s="3"/>
      <c r="G4558" s="3"/>
      <c r="N4558" s="3"/>
      <c r="Q4558" s="3"/>
      <c r="R4558" s="3"/>
      <c r="S4558" s="3"/>
      <c r="V4558" s="3"/>
      <c r="W4558" s="3"/>
      <c r="X4558" s="3"/>
      <c r="Y4558" s="3"/>
      <c r="Z4558" s="3"/>
      <c r="AA4558" s="3"/>
      <c r="AB4558" s="3"/>
    </row>
    <row r="4559" spans="1:28" x14ac:dyDescent="0.3">
      <c r="A4559" s="2"/>
      <c r="F4559" s="3"/>
      <c r="G4559" s="3"/>
      <c r="N4559" s="3"/>
      <c r="Q4559" s="3"/>
      <c r="R4559" s="3"/>
      <c r="S4559" s="3"/>
      <c r="V4559" s="3"/>
      <c r="W4559" s="3"/>
      <c r="X4559" s="3"/>
      <c r="Y4559" s="3"/>
      <c r="Z4559" s="3"/>
      <c r="AA4559" s="3"/>
      <c r="AB4559" s="3"/>
    </row>
    <row r="4560" spans="1:28" x14ac:dyDescent="0.3">
      <c r="A4560" s="2"/>
      <c r="F4560" s="3"/>
      <c r="G4560" s="3"/>
      <c r="N4560" s="3"/>
      <c r="Q4560" s="3"/>
      <c r="R4560" s="3"/>
      <c r="S4560" s="3"/>
      <c r="V4560" s="3"/>
      <c r="W4560" s="3"/>
      <c r="X4560" s="3"/>
      <c r="Y4560" s="3"/>
      <c r="Z4560" s="3"/>
      <c r="AA4560" s="3"/>
      <c r="AB4560" s="3"/>
    </row>
    <row r="4561" spans="1:28" x14ac:dyDescent="0.3">
      <c r="A4561" s="2"/>
      <c r="F4561" s="3"/>
      <c r="G4561" s="3"/>
      <c r="N4561" s="3"/>
      <c r="Q4561" s="3"/>
      <c r="R4561" s="3"/>
      <c r="S4561" s="3"/>
      <c r="V4561" s="3"/>
      <c r="W4561" s="3"/>
      <c r="X4561" s="3"/>
      <c r="Y4561" s="3"/>
      <c r="Z4561" s="3"/>
      <c r="AA4561" s="3"/>
      <c r="AB4561" s="3"/>
    </row>
    <row r="4562" spans="1:28" x14ac:dyDescent="0.3">
      <c r="A4562" s="2"/>
      <c r="F4562" s="3"/>
      <c r="G4562" s="3"/>
      <c r="N4562" s="3"/>
      <c r="Q4562" s="3"/>
      <c r="R4562" s="3"/>
      <c r="S4562" s="3"/>
      <c r="V4562" s="3"/>
      <c r="W4562" s="3"/>
      <c r="X4562" s="3"/>
      <c r="Y4562" s="3"/>
      <c r="Z4562" s="3"/>
      <c r="AA4562" s="3"/>
      <c r="AB4562" s="3"/>
    </row>
    <row r="4563" spans="1:28" x14ac:dyDescent="0.3">
      <c r="A4563" s="2"/>
      <c r="F4563" s="3"/>
      <c r="G4563" s="3"/>
      <c r="N4563" s="3"/>
      <c r="Q4563" s="3"/>
      <c r="R4563" s="3"/>
      <c r="S4563" s="3"/>
      <c r="V4563" s="3"/>
      <c r="W4563" s="3"/>
      <c r="X4563" s="3"/>
      <c r="Y4563" s="3"/>
      <c r="Z4563" s="3"/>
      <c r="AA4563" s="3"/>
      <c r="AB4563" s="3"/>
    </row>
    <row r="4564" spans="1:28" x14ac:dyDescent="0.3">
      <c r="A4564" s="2"/>
      <c r="F4564" s="3"/>
      <c r="G4564" s="3"/>
      <c r="N4564" s="3"/>
      <c r="Q4564" s="3"/>
      <c r="R4564" s="3"/>
      <c r="S4564" s="3"/>
      <c r="V4564" s="3"/>
      <c r="W4564" s="3"/>
      <c r="X4564" s="3"/>
      <c r="Y4564" s="3"/>
      <c r="Z4564" s="3"/>
      <c r="AA4564" s="3"/>
      <c r="AB4564" s="3"/>
    </row>
    <row r="4565" spans="1:28" x14ac:dyDescent="0.3">
      <c r="A4565" s="2"/>
      <c r="F4565" s="3"/>
      <c r="G4565" s="3"/>
      <c r="N4565" s="3"/>
      <c r="Q4565" s="3"/>
      <c r="R4565" s="3"/>
      <c r="S4565" s="3"/>
      <c r="V4565" s="3"/>
      <c r="W4565" s="3"/>
      <c r="X4565" s="3"/>
      <c r="Y4565" s="3"/>
      <c r="Z4565" s="3"/>
      <c r="AA4565" s="3"/>
      <c r="AB4565" s="3"/>
    </row>
    <row r="4566" spans="1:28" x14ac:dyDescent="0.3">
      <c r="A4566" s="2"/>
      <c r="F4566" s="3"/>
      <c r="G4566" s="3"/>
      <c r="N4566" s="3"/>
      <c r="Q4566" s="3"/>
      <c r="R4566" s="3"/>
      <c r="S4566" s="3"/>
      <c r="V4566" s="3"/>
      <c r="W4566" s="3"/>
      <c r="X4566" s="3"/>
      <c r="Y4566" s="3"/>
      <c r="Z4566" s="3"/>
      <c r="AA4566" s="3"/>
      <c r="AB4566" s="3"/>
    </row>
    <row r="4567" spans="1:28" x14ac:dyDescent="0.3">
      <c r="A4567" s="2"/>
      <c r="F4567" s="3"/>
      <c r="G4567" s="3"/>
      <c r="N4567" s="3"/>
      <c r="Q4567" s="3"/>
      <c r="R4567" s="3"/>
      <c r="S4567" s="3"/>
      <c r="V4567" s="3"/>
      <c r="W4567" s="3"/>
      <c r="X4567" s="3"/>
      <c r="Y4567" s="3"/>
      <c r="Z4567" s="3"/>
      <c r="AA4567" s="3"/>
      <c r="AB4567" s="3"/>
    </row>
    <row r="4568" spans="1:28" x14ac:dyDescent="0.3">
      <c r="A4568" s="2"/>
      <c r="F4568" s="3"/>
      <c r="G4568" s="3"/>
      <c r="N4568" s="3"/>
      <c r="Q4568" s="3"/>
      <c r="R4568" s="3"/>
      <c r="S4568" s="3"/>
      <c r="V4568" s="3"/>
      <c r="W4568" s="3"/>
      <c r="X4568" s="3"/>
      <c r="Y4568" s="3"/>
      <c r="Z4568" s="3"/>
      <c r="AA4568" s="3"/>
      <c r="AB4568" s="3"/>
    </row>
    <row r="4569" spans="1:28" x14ac:dyDescent="0.3">
      <c r="A4569" s="2"/>
      <c r="F4569" s="3"/>
      <c r="G4569" s="3"/>
      <c r="N4569" s="3"/>
      <c r="Q4569" s="3"/>
      <c r="R4569" s="3"/>
      <c r="S4569" s="3"/>
      <c r="V4569" s="3"/>
      <c r="W4569" s="3"/>
      <c r="X4569" s="3"/>
      <c r="Y4569" s="3"/>
      <c r="Z4569" s="3"/>
      <c r="AA4569" s="3"/>
      <c r="AB4569" s="3"/>
    </row>
    <row r="4570" spans="1:28" x14ac:dyDescent="0.3">
      <c r="A4570" s="2"/>
      <c r="F4570" s="3"/>
      <c r="G4570" s="3"/>
      <c r="N4570" s="3"/>
      <c r="Q4570" s="3"/>
      <c r="R4570" s="3"/>
      <c r="S4570" s="3"/>
      <c r="V4570" s="3"/>
      <c r="W4570" s="3"/>
      <c r="X4570" s="3"/>
      <c r="Y4570" s="3"/>
      <c r="Z4570" s="3"/>
      <c r="AA4570" s="3"/>
      <c r="AB4570" s="3"/>
    </row>
    <row r="4571" spans="1:28" x14ac:dyDescent="0.3">
      <c r="A4571" s="2"/>
      <c r="F4571" s="3"/>
      <c r="G4571" s="3"/>
      <c r="N4571" s="3"/>
      <c r="Q4571" s="3"/>
      <c r="R4571" s="3"/>
      <c r="S4571" s="3"/>
      <c r="V4571" s="3"/>
      <c r="W4571" s="3"/>
      <c r="X4571" s="3"/>
      <c r="Y4571" s="3"/>
      <c r="Z4571" s="3"/>
      <c r="AA4571" s="3"/>
      <c r="AB4571" s="3"/>
    </row>
    <row r="4572" spans="1:28" x14ac:dyDescent="0.3">
      <c r="A4572" s="2"/>
      <c r="F4572" s="3"/>
      <c r="G4572" s="3"/>
      <c r="N4572" s="3"/>
      <c r="Q4572" s="3"/>
      <c r="R4572" s="3"/>
      <c r="S4572" s="3"/>
      <c r="V4572" s="3"/>
      <c r="W4572" s="3"/>
      <c r="X4572" s="3"/>
      <c r="Y4572" s="3"/>
      <c r="Z4572" s="3"/>
      <c r="AA4572" s="3"/>
      <c r="AB4572" s="3"/>
    </row>
    <row r="4573" spans="1:28" x14ac:dyDescent="0.3">
      <c r="A4573" s="2"/>
      <c r="F4573" s="3"/>
      <c r="G4573" s="3"/>
      <c r="N4573" s="3"/>
      <c r="Q4573" s="3"/>
      <c r="R4573" s="3"/>
      <c r="S4573" s="3"/>
      <c r="V4573" s="3"/>
      <c r="W4573" s="3"/>
      <c r="X4573" s="3"/>
      <c r="Y4573" s="3"/>
      <c r="Z4573" s="3"/>
      <c r="AA4573" s="3"/>
      <c r="AB4573" s="3"/>
    </row>
    <row r="4574" spans="1:28" x14ac:dyDescent="0.3">
      <c r="A4574" s="2"/>
      <c r="F4574" s="3"/>
      <c r="G4574" s="3"/>
      <c r="N4574" s="3"/>
      <c r="Q4574" s="3"/>
      <c r="R4574" s="3"/>
      <c r="S4574" s="3"/>
      <c r="V4574" s="3"/>
      <c r="W4574" s="3"/>
      <c r="X4574" s="3"/>
      <c r="Y4574" s="3"/>
      <c r="Z4574" s="3"/>
      <c r="AA4574" s="3"/>
      <c r="AB4574" s="3"/>
    </row>
    <row r="4575" spans="1:28" x14ac:dyDescent="0.3">
      <c r="A4575" s="2"/>
      <c r="F4575" s="3"/>
      <c r="G4575" s="3"/>
      <c r="N4575" s="3"/>
      <c r="Q4575" s="3"/>
      <c r="R4575" s="3"/>
      <c r="S4575" s="3"/>
      <c r="V4575" s="3"/>
      <c r="W4575" s="3"/>
      <c r="X4575" s="3"/>
      <c r="Y4575" s="3"/>
      <c r="Z4575" s="3"/>
      <c r="AA4575" s="3"/>
      <c r="AB4575" s="3"/>
    </row>
    <row r="4576" spans="1:28" x14ac:dyDescent="0.3">
      <c r="A4576" s="2"/>
      <c r="F4576" s="3"/>
      <c r="G4576" s="3"/>
      <c r="N4576" s="3"/>
      <c r="Q4576" s="3"/>
      <c r="R4576" s="3"/>
      <c r="S4576" s="3"/>
      <c r="V4576" s="3"/>
      <c r="W4576" s="3"/>
      <c r="X4576" s="3"/>
      <c r="Y4576" s="3"/>
      <c r="Z4576" s="3"/>
      <c r="AA4576" s="3"/>
      <c r="AB4576" s="3"/>
    </row>
    <row r="4577" spans="1:28" x14ac:dyDescent="0.3">
      <c r="A4577" s="2"/>
      <c r="F4577" s="3"/>
      <c r="G4577" s="3"/>
      <c r="N4577" s="3"/>
      <c r="Q4577" s="3"/>
      <c r="R4577" s="3"/>
      <c r="S4577" s="3"/>
      <c r="V4577" s="3"/>
      <c r="W4577" s="3"/>
      <c r="X4577" s="3"/>
      <c r="Y4577" s="3"/>
      <c r="Z4577" s="3"/>
      <c r="AA4577" s="3"/>
      <c r="AB4577" s="3"/>
    </row>
    <row r="4578" spans="1:28" x14ac:dyDescent="0.3">
      <c r="A4578" s="2"/>
      <c r="F4578" s="3"/>
      <c r="G4578" s="3"/>
      <c r="N4578" s="3"/>
      <c r="Q4578" s="3"/>
      <c r="R4578" s="3"/>
      <c r="S4578" s="3"/>
      <c r="V4578" s="3"/>
      <c r="W4578" s="3"/>
      <c r="X4578" s="3"/>
      <c r="Y4578" s="3"/>
      <c r="Z4578" s="3"/>
      <c r="AA4578" s="3"/>
      <c r="AB4578" s="3"/>
    </row>
    <row r="4579" spans="1:28" x14ac:dyDescent="0.3">
      <c r="A4579" s="2"/>
      <c r="F4579" s="3"/>
      <c r="G4579" s="3"/>
      <c r="N4579" s="3"/>
      <c r="Q4579" s="3"/>
      <c r="R4579" s="3"/>
      <c r="S4579" s="3"/>
      <c r="V4579" s="3"/>
      <c r="W4579" s="3"/>
      <c r="X4579" s="3"/>
      <c r="Y4579" s="3"/>
      <c r="Z4579" s="3"/>
      <c r="AA4579" s="3"/>
      <c r="AB4579" s="3"/>
    </row>
    <row r="4580" spans="1:28" x14ac:dyDescent="0.3">
      <c r="A4580" s="2"/>
      <c r="F4580" s="3"/>
      <c r="G4580" s="3"/>
      <c r="N4580" s="3"/>
      <c r="Q4580" s="3"/>
      <c r="R4580" s="3"/>
      <c r="S4580" s="3"/>
      <c r="V4580" s="3"/>
      <c r="W4580" s="3"/>
      <c r="X4580" s="3"/>
      <c r="Y4580" s="3"/>
      <c r="Z4580" s="3"/>
      <c r="AA4580" s="3"/>
      <c r="AB4580" s="3"/>
    </row>
    <row r="4581" spans="1:28" x14ac:dyDescent="0.3">
      <c r="A4581" s="2"/>
      <c r="F4581" s="3"/>
      <c r="G4581" s="3"/>
      <c r="N4581" s="3"/>
      <c r="Q4581" s="3"/>
      <c r="R4581" s="3"/>
      <c r="S4581" s="3"/>
      <c r="V4581" s="3"/>
      <c r="W4581" s="3"/>
      <c r="X4581" s="3"/>
      <c r="Y4581" s="3"/>
      <c r="Z4581" s="3"/>
      <c r="AA4581" s="3"/>
      <c r="AB4581" s="3"/>
    </row>
    <row r="4582" spans="1:28" x14ac:dyDescent="0.3">
      <c r="A4582" s="2"/>
      <c r="F4582" s="3"/>
      <c r="G4582" s="3"/>
      <c r="N4582" s="3"/>
      <c r="Q4582" s="3"/>
      <c r="R4582" s="3"/>
      <c r="S4582" s="3"/>
      <c r="V4582" s="3"/>
      <c r="W4582" s="3"/>
      <c r="X4582" s="3"/>
      <c r="Y4582" s="3"/>
      <c r="Z4582" s="3"/>
      <c r="AA4582" s="3"/>
      <c r="AB4582" s="3"/>
    </row>
    <row r="4583" spans="1:28" x14ac:dyDescent="0.3">
      <c r="A4583" s="2"/>
      <c r="F4583" s="3"/>
      <c r="G4583" s="3"/>
      <c r="N4583" s="3"/>
      <c r="Q4583" s="3"/>
      <c r="R4583" s="3"/>
      <c r="S4583" s="3"/>
      <c r="V4583" s="3"/>
      <c r="W4583" s="3"/>
      <c r="X4583" s="3"/>
      <c r="Y4583" s="3"/>
      <c r="Z4583" s="3"/>
      <c r="AA4583" s="3"/>
      <c r="AB4583" s="3"/>
    </row>
    <row r="4584" spans="1:28" x14ac:dyDescent="0.3">
      <c r="A4584" s="2"/>
      <c r="F4584" s="3"/>
      <c r="G4584" s="3"/>
      <c r="N4584" s="3"/>
      <c r="Q4584" s="3"/>
      <c r="R4584" s="3"/>
      <c r="S4584" s="3"/>
      <c r="V4584" s="3"/>
      <c r="W4584" s="3"/>
      <c r="X4584" s="3"/>
      <c r="Y4584" s="3"/>
      <c r="Z4584" s="3"/>
      <c r="AA4584" s="3"/>
      <c r="AB4584" s="3"/>
    </row>
    <row r="4585" spans="1:28" x14ac:dyDescent="0.3">
      <c r="A4585" s="2"/>
      <c r="F4585" s="3"/>
      <c r="G4585" s="3"/>
      <c r="N4585" s="3"/>
      <c r="Q4585" s="3"/>
      <c r="R4585" s="3"/>
      <c r="S4585" s="3"/>
      <c r="V4585" s="3"/>
      <c r="W4585" s="3"/>
      <c r="X4585" s="3"/>
      <c r="Y4585" s="3"/>
      <c r="Z4585" s="3"/>
      <c r="AA4585" s="3"/>
      <c r="AB4585" s="3"/>
    </row>
    <row r="4586" spans="1:28" x14ac:dyDescent="0.3">
      <c r="A4586" s="2"/>
      <c r="F4586" s="3"/>
      <c r="G4586" s="3"/>
      <c r="N4586" s="3"/>
      <c r="Q4586" s="3"/>
      <c r="R4586" s="3"/>
      <c r="S4586" s="3"/>
      <c r="V4586" s="3"/>
      <c r="W4586" s="3"/>
      <c r="X4586" s="3"/>
      <c r="Y4586" s="3"/>
      <c r="Z4586" s="3"/>
      <c r="AA4586" s="3"/>
      <c r="AB4586" s="3"/>
    </row>
    <row r="4587" spans="1:28" x14ac:dyDescent="0.3">
      <c r="A4587" s="2"/>
      <c r="F4587" s="3"/>
      <c r="G4587" s="3"/>
      <c r="N4587" s="3"/>
      <c r="Q4587" s="3"/>
      <c r="R4587" s="3"/>
      <c r="S4587" s="3"/>
      <c r="V4587" s="3"/>
      <c r="W4587" s="3"/>
      <c r="X4587" s="3"/>
      <c r="Y4587" s="3"/>
      <c r="Z4587" s="3"/>
      <c r="AA4587" s="3"/>
      <c r="AB4587" s="3"/>
    </row>
    <row r="4588" spans="1:28" x14ac:dyDescent="0.3">
      <c r="A4588" s="2"/>
      <c r="F4588" s="3"/>
      <c r="G4588" s="3"/>
      <c r="N4588" s="3"/>
      <c r="Q4588" s="3"/>
      <c r="R4588" s="3"/>
      <c r="S4588" s="3"/>
      <c r="V4588" s="3"/>
      <c r="W4588" s="3"/>
      <c r="X4588" s="3"/>
      <c r="Y4588" s="3"/>
      <c r="Z4588" s="3"/>
      <c r="AA4588" s="3"/>
      <c r="AB4588" s="3"/>
    </row>
    <row r="4589" spans="1:28" x14ac:dyDescent="0.3">
      <c r="A4589" s="2"/>
      <c r="F4589" s="3"/>
      <c r="G4589" s="3"/>
      <c r="N4589" s="3"/>
      <c r="Q4589" s="3"/>
      <c r="R4589" s="3"/>
      <c r="S4589" s="3"/>
      <c r="V4589" s="3"/>
      <c r="W4589" s="3"/>
      <c r="X4589" s="3"/>
      <c r="Y4589" s="3"/>
      <c r="Z4589" s="3"/>
      <c r="AA4589" s="3"/>
      <c r="AB4589" s="3"/>
    </row>
    <row r="4590" spans="1:28" x14ac:dyDescent="0.3">
      <c r="A4590" s="2"/>
      <c r="F4590" s="3"/>
      <c r="G4590" s="3"/>
      <c r="N4590" s="3"/>
      <c r="Q4590" s="3"/>
      <c r="R4590" s="3"/>
      <c r="S4590" s="3"/>
      <c r="V4590" s="3"/>
      <c r="W4590" s="3"/>
      <c r="X4590" s="3"/>
      <c r="Y4590" s="3"/>
      <c r="Z4590" s="3"/>
      <c r="AA4590" s="3"/>
      <c r="AB4590" s="3"/>
    </row>
    <row r="4591" spans="1:28" x14ac:dyDescent="0.3">
      <c r="A4591" s="2"/>
      <c r="F4591" s="3"/>
      <c r="G4591" s="3"/>
      <c r="N4591" s="3"/>
      <c r="Q4591" s="3"/>
      <c r="R4591" s="3"/>
      <c r="S4591" s="3"/>
      <c r="V4591" s="3"/>
      <c r="W4591" s="3"/>
      <c r="X4591" s="3"/>
      <c r="Y4591" s="3"/>
      <c r="Z4591" s="3"/>
      <c r="AA4591" s="3"/>
      <c r="AB4591" s="3"/>
    </row>
    <row r="4592" spans="1:28" x14ac:dyDescent="0.3">
      <c r="A4592" s="2"/>
      <c r="F4592" s="3"/>
      <c r="G4592" s="3"/>
      <c r="N4592" s="3"/>
      <c r="Q4592" s="3"/>
      <c r="R4592" s="3"/>
      <c r="S4592" s="3"/>
      <c r="V4592" s="3"/>
      <c r="W4592" s="3"/>
      <c r="X4592" s="3"/>
      <c r="Y4592" s="3"/>
      <c r="Z4592" s="3"/>
      <c r="AA4592" s="3"/>
      <c r="AB4592" s="3"/>
    </row>
    <row r="4593" spans="1:28" x14ac:dyDescent="0.3">
      <c r="A4593" s="2"/>
      <c r="F4593" s="3"/>
      <c r="G4593" s="3"/>
      <c r="N4593" s="3"/>
      <c r="Q4593" s="3"/>
      <c r="R4593" s="3"/>
      <c r="S4593" s="3"/>
      <c r="V4593" s="3"/>
      <c r="W4593" s="3"/>
      <c r="X4593" s="3"/>
      <c r="Y4593" s="3"/>
      <c r="Z4593" s="3"/>
      <c r="AA4593" s="3"/>
      <c r="AB4593" s="3"/>
    </row>
    <row r="4594" spans="1:28" x14ac:dyDescent="0.3">
      <c r="A4594" s="2"/>
      <c r="F4594" s="3"/>
      <c r="G4594" s="3"/>
      <c r="N4594" s="3"/>
      <c r="Q4594" s="3"/>
      <c r="R4594" s="3"/>
      <c r="S4594" s="3"/>
      <c r="V4594" s="3"/>
      <c r="W4594" s="3"/>
      <c r="X4594" s="3"/>
      <c r="Y4594" s="3"/>
      <c r="Z4594" s="3"/>
      <c r="AA4594" s="3"/>
      <c r="AB4594" s="3"/>
    </row>
    <row r="4595" spans="1:28" x14ac:dyDescent="0.3">
      <c r="A4595" s="2"/>
      <c r="F4595" s="3"/>
      <c r="G4595" s="3"/>
      <c r="N4595" s="3"/>
      <c r="Q4595" s="3"/>
      <c r="R4595" s="3"/>
      <c r="S4595" s="3"/>
      <c r="V4595" s="3"/>
      <c r="W4595" s="3"/>
      <c r="X4595" s="3"/>
      <c r="Y4595" s="3"/>
      <c r="Z4595" s="3"/>
      <c r="AA4595" s="3"/>
      <c r="AB4595" s="3"/>
    </row>
    <row r="4596" spans="1:28" x14ac:dyDescent="0.3">
      <c r="A4596" s="2"/>
      <c r="F4596" s="3"/>
      <c r="G4596" s="3"/>
      <c r="N4596" s="3"/>
      <c r="Q4596" s="3"/>
      <c r="R4596" s="3"/>
      <c r="S4596" s="3"/>
      <c r="V4596" s="3"/>
      <c r="W4596" s="3"/>
      <c r="X4596" s="3"/>
      <c r="Y4596" s="3"/>
      <c r="Z4596" s="3"/>
      <c r="AA4596" s="3"/>
      <c r="AB4596" s="3"/>
    </row>
    <row r="4597" spans="1:28" x14ac:dyDescent="0.3">
      <c r="A4597" s="2"/>
      <c r="F4597" s="3"/>
      <c r="G4597" s="3"/>
      <c r="N4597" s="3"/>
      <c r="Q4597" s="3"/>
      <c r="R4597" s="3"/>
      <c r="S4597" s="3"/>
      <c r="V4597" s="3"/>
      <c r="W4597" s="3"/>
      <c r="X4597" s="3"/>
      <c r="Y4597" s="3"/>
      <c r="Z4597" s="3"/>
      <c r="AA4597" s="3"/>
      <c r="AB4597" s="3"/>
    </row>
    <row r="4598" spans="1:28" x14ac:dyDescent="0.3">
      <c r="A4598" s="2"/>
      <c r="F4598" s="3"/>
      <c r="G4598" s="3"/>
      <c r="N4598" s="3"/>
      <c r="Q4598" s="3"/>
      <c r="R4598" s="3"/>
      <c r="S4598" s="3"/>
      <c r="V4598" s="3"/>
      <c r="W4598" s="3"/>
      <c r="X4598" s="3"/>
      <c r="Y4598" s="3"/>
      <c r="Z4598" s="3"/>
      <c r="AA4598" s="3"/>
      <c r="AB4598" s="3"/>
    </row>
    <row r="4599" spans="1:28" x14ac:dyDescent="0.3">
      <c r="A4599" s="2"/>
      <c r="F4599" s="3"/>
      <c r="G4599" s="3"/>
      <c r="N4599" s="3"/>
      <c r="Q4599" s="3"/>
      <c r="R4599" s="3"/>
      <c r="S4599" s="3"/>
      <c r="V4599" s="3"/>
      <c r="W4599" s="3"/>
      <c r="X4599" s="3"/>
      <c r="Y4599" s="3"/>
      <c r="Z4599" s="3"/>
      <c r="AA4599" s="3"/>
      <c r="AB4599" s="3"/>
    </row>
    <row r="4600" spans="1:28" x14ac:dyDescent="0.3">
      <c r="A4600" s="2"/>
      <c r="F4600" s="3"/>
      <c r="G4600" s="3"/>
      <c r="N4600" s="3"/>
      <c r="Q4600" s="3"/>
      <c r="R4600" s="3"/>
      <c r="S4600" s="3"/>
      <c r="V4600" s="3"/>
      <c r="W4600" s="3"/>
      <c r="X4600" s="3"/>
      <c r="Y4600" s="3"/>
      <c r="Z4600" s="3"/>
      <c r="AA4600" s="3"/>
      <c r="AB4600" s="3"/>
    </row>
    <row r="4601" spans="1:28" x14ac:dyDescent="0.3">
      <c r="A4601" s="2"/>
      <c r="F4601" s="3"/>
      <c r="G4601" s="3"/>
      <c r="N4601" s="3"/>
      <c r="Q4601" s="3"/>
      <c r="R4601" s="3"/>
      <c r="S4601" s="3"/>
      <c r="V4601" s="3"/>
      <c r="W4601" s="3"/>
      <c r="X4601" s="3"/>
      <c r="Y4601" s="3"/>
      <c r="Z4601" s="3"/>
      <c r="AA4601" s="3"/>
      <c r="AB4601" s="3"/>
    </row>
    <row r="4602" spans="1:28" x14ac:dyDescent="0.3">
      <c r="A4602" s="2"/>
      <c r="F4602" s="3"/>
      <c r="G4602" s="3"/>
      <c r="N4602" s="3"/>
      <c r="Q4602" s="3"/>
      <c r="R4602" s="3"/>
      <c r="S4602" s="3"/>
      <c r="V4602" s="3"/>
      <c r="W4602" s="3"/>
      <c r="X4602" s="3"/>
      <c r="Y4602" s="3"/>
      <c r="Z4602" s="3"/>
      <c r="AA4602" s="3"/>
      <c r="AB4602" s="3"/>
    </row>
    <row r="4603" spans="1:28" x14ac:dyDescent="0.3">
      <c r="A4603" s="2"/>
      <c r="F4603" s="3"/>
      <c r="G4603" s="3"/>
      <c r="N4603" s="3"/>
      <c r="Q4603" s="3"/>
      <c r="R4603" s="3"/>
      <c r="S4603" s="3"/>
      <c r="V4603" s="3"/>
      <c r="W4603" s="3"/>
      <c r="X4603" s="3"/>
      <c r="Y4603" s="3"/>
      <c r="Z4603" s="3"/>
      <c r="AA4603" s="3"/>
      <c r="AB4603" s="3"/>
    </row>
    <row r="4604" spans="1:28" x14ac:dyDescent="0.3">
      <c r="A4604" s="2"/>
      <c r="F4604" s="3"/>
      <c r="G4604" s="3"/>
      <c r="N4604" s="3"/>
      <c r="Q4604" s="3"/>
      <c r="R4604" s="3"/>
      <c r="S4604" s="3"/>
      <c r="V4604" s="3"/>
      <c r="W4604" s="3"/>
      <c r="X4604" s="3"/>
      <c r="Y4604" s="3"/>
      <c r="Z4604" s="3"/>
      <c r="AA4604" s="3"/>
      <c r="AB4604" s="3"/>
    </row>
    <row r="4605" spans="1:28" x14ac:dyDescent="0.3">
      <c r="A4605" s="2"/>
      <c r="F4605" s="3"/>
      <c r="G4605" s="3"/>
      <c r="N4605" s="3"/>
      <c r="Q4605" s="3"/>
      <c r="R4605" s="3"/>
      <c r="S4605" s="3"/>
      <c r="V4605" s="3"/>
      <c r="W4605" s="3"/>
      <c r="X4605" s="3"/>
      <c r="Y4605" s="3"/>
      <c r="Z4605" s="3"/>
      <c r="AA4605" s="3"/>
      <c r="AB4605" s="3"/>
    </row>
    <row r="4606" spans="1:28" x14ac:dyDescent="0.3">
      <c r="A4606" s="2"/>
      <c r="F4606" s="3"/>
      <c r="G4606" s="3"/>
      <c r="N4606" s="3"/>
      <c r="Q4606" s="3"/>
      <c r="R4606" s="3"/>
      <c r="S4606" s="3"/>
      <c r="V4606" s="3"/>
      <c r="W4606" s="3"/>
      <c r="X4606" s="3"/>
      <c r="Y4606" s="3"/>
      <c r="Z4606" s="3"/>
      <c r="AA4606" s="3"/>
      <c r="AB4606" s="3"/>
    </row>
    <row r="4607" spans="1:28" x14ac:dyDescent="0.3">
      <c r="A4607" s="2"/>
      <c r="F4607" s="3"/>
      <c r="G4607" s="3"/>
      <c r="N4607" s="3"/>
      <c r="Q4607" s="3"/>
      <c r="R4607" s="3"/>
      <c r="S4607" s="3"/>
      <c r="V4607" s="3"/>
      <c r="W4607" s="3"/>
      <c r="X4607" s="3"/>
      <c r="Y4607" s="3"/>
      <c r="Z4607" s="3"/>
      <c r="AA4607" s="3"/>
      <c r="AB4607" s="3"/>
    </row>
    <row r="4608" spans="1:28" x14ac:dyDescent="0.3">
      <c r="A4608" s="2"/>
      <c r="F4608" s="3"/>
      <c r="G4608" s="3"/>
      <c r="N4608" s="3"/>
      <c r="Q4608" s="3"/>
      <c r="R4608" s="3"/>
      <c r="S4608" s="3"/>
      <c r="V4608" s="3"/>
      <c r="W4608" s="3"/>
      <c r="X4608" s="3"/>
      <c r="Y4608" s="3"/>
      <c r="Z4608" s="3"/>
      <c r="AA4608" s="3"/>
      <c r="AB4608" s="3"/>
    </row>
    <row r="4609" spans="1:28" x14ac:dyDescent="0.3">
      <c r="A4609" s="2"/>
      <c r="F4609" s="3"/>
      <c r="G4609" s="3"/>
      <c r="N4609" s="3"/>
      <c r="Q4609" s="3"/>
      <c r="R4609" s="3"/>
      <c r="S4609" s="3"/>
      <c r="V4609" s="3"/>
      <c r="W4609" s="3"/>
      <c r="X4609" s="3"/>
      <c r="Y4609" s="3"/>
      <c r="Z4609" s="3"/>
      <c r="AA4609" s="3"/>
      <c r="AB4609" s="3"/>
    </row>
    <row r="4610" spans="1:28" x14ac:dyDescent="0.3">
      <c r="A4610" s="2"/>
      <c r="F4610" s="3"/>
      <c r="G4610" s="3"/>
      <c r="N4610" s="3"/>
      <c r="Q4610" s="3"/>
      <c r="R4610" s="3"/>
      <c r="S4610" s="3"/>
      <c r="V4610" s="3"/>
      <c r="W4610" s="3"/>
      <c r="X4610" s="3"/>
      <c r="Y4610" s="3"/>
      <c r="Z4610" s="3"/>
      <c r="AA4610" s="3"/>
      <c r="AB4610" s="3"/>
    </row>
    <row r="4611" spans="1:28" x14ac:dyDescent="0.3">
      <c r="A4611" s="2"/>
      <c r="F4611" s="3"/>
      <c r="G4611" s="3"/>
      <c r="N4611" s="3"/>
      <c r="Q4611" s="3"/>
      <c r="R4611" s="3"/>
      <c r="S4611" s="3"/>
      <c r="V4611" s="3"/>
      <c r="W4611" s="3"/>
      <c r="X4611" s="3"/>
      <c r="Y4611" s="3"/>
      <c r="Z4611" s="3"/>
      <c r="AA4611" s="3"/>
      <c r="AB4611" s="3"/>
    </row>
    <row r="4612" spans="1:28" x14ac:dyDescent="0.3">
      <c r="A4612" s="2"/>
      <c r="F4612" s="3"/>
      <c r="G4612" s="3"/>
      <c r="N4612" s="3"/>
      <c r="Q4612" s="3"/>
      <c r="R4612" s="3"/>
      <c r="S4612" s="3"/>
      <c r="V4612" s="3"/>
      <c r="W4612" s="3"/>
      <c r="X4612" s="3"/>
      <c r="Y4612" s="3"/>
      <c r="Z4612" s="3"/>
      <c r="AA4612" s="3"/>
      <c r="AB4612" s="3"/>
    </row>
    <row r="4613" spans="1:28" x14ac:dyDescent="0.3">
      <c r="A4613" s="2"/>
      <c r="F4613" s="3"/>
      <c r="G4613" s="3"/>
      <c r="N4613" s="3"/>
      <c r="Q4613" s="3"/>
      <c r="R4613" s="3"/>
      <c r="S4613" s="3"/>
      <c r="V4613" s="3"/>
      <c r="W4613" s="3"/>
      <c r="X4613" s="3"/>
      <c r="Y4613" s="3"/>
      <c r="Z4613" s="3"/>
      <c r="AA4613" s="3"/>
      <c r="AB4613" s="3"/>
    </row>
    <row r="4614" spans="1:28" x14ac:dyDescent="0.3">
      <c r="A4614" s="2"/>
      <c r="F4614" s="3"/>
      <c r="G4614" s="3"/>
      <c r="N4614" s="3"/>
      <c r="Q4614" s="3"/>
      <c r="R4614" s="3"/>
      <c r="S4614" s="3"/>
      <c r="V4614" s="3"/>
      <c r="W4614" s="3"/>
      <c r="X4614" s="3"/>
      <c r="Y4614" s="3"/>
      <c r="Z4614" s="3"/>
      <c r="AA4614" s="3"/>
      <c r="AB4614" s="3"/>
    </row>
    <row r="4615" spans="1:28" x14ac:dyDescent="0.3">
      <c r="A4615" s="2"/>
      <c r="F4615" s="3"/>
      <c r="G4615" s="3"/>
      <c r="N4615" s="3"/>
      <c r="Q4615" s="3"/>
      <c r="R4615" s="3"/>
      <c r="S4615" s="3"/>
      <c r="V4615" s="3"/>
      <c r="W4615" s="3"/>
      <c r="X4615" s="3"/>
      <c r="Y4615" s="3"/>
      <c r="Z4615" s="3"/>
      <c r="AA4615" s="3"/>
      <c r="AB4615" s="3"/>
    </row>
    <row r="4616" spans="1:28" x14ac:dyDescent="0.3">
      <c r="A4616" s="2"/>
      <c r="F4616" s="3"/>
      <c r="G4616" s="3"/>
      <c r="N4616" s="3"/>
      <c r="Q4616" s="3"/>
      <c r="R4616" s="3"/>
      <c r="S4616" s="3"/>
      <c r="V4616" s="3"/>
      <c r="W4616" s="3"/>
      <c r="X4616" s="3"/>
      <c r="Y4616" s="3"/>
      <c r="Z4616" s="3"/>
      <c r="AA4616" s="3"/>
      <c r="AB4616" s="3"/>
    </row>
    <row r="4617" spans="1:28" x14ac:dyDescent="0.3">
      <c r="A4617" s="2"/>
      <c r="F4617" s="3"/>
      <c r="G4617" s="3"/>
      <c r="N4617" s="3"/>
      <c r="Q4617" s="3"/>
      <c r="R4617" s="3"/>
      <c r="S4617" s="3"/>
      <c r="V4617" s="3"/>
      <c r="W4617" s="3"/>
      <c r="X4617" s="3"/>
      <c r="Y4617" s="3"/>
      <c r="Z4617" s="3"/>
      <c r="AA4617" s="3"/>
      <c r="AB4617" s="3"/>
    </row>
    <row r="4618" spans="1:28" x14ac:dyDescent="0.3">
      <c r="A4618" s="2"/>
      <c r="F4618" s="3"/>
      <c r="G4618" s="3"/>
      <c r="N4618" s="3"/>
      <c r="Q4618" s="3"/>
      <c r="R4618" s="3"/>
      <c r="S4618" s="3"/>
      <c r="V4618" s="3"/>
      <c r="W4618" s="3"/>
      <c r="X4618" s="3"/>
      <c r="Y4618" s="3"/>
      <c r="Z4618" s="3"/>
      <c r="AA4618" s="3"/>
      <c r="AB4618" s="3"/>
    </row>
    <row r="4619" spans="1:28" x14ac:dyDescent="0.3">
      <c r="A4619" s="2"/>
      <c r="F4619" s="3"/>
      <c r="G4619" s="3"/>
      <c r="N4619" s="3"/>
      <c r="Q4619" s="3"/>
      <c r="R4619" s="3"/>
      <c r="S4619" s="3"/>
      <c r="V4619" s="3"/>
      <c r="W4619" s="3"/>
      <c r="X4619" s="3"/>
      <c r="Y4619" s="3"/>
      <c r="Z4619" s="3"/>
      <c r="AA4619" s="3"/>
      <c r="AB4619" s="3"/>
    </row>
    <row r="4620" spans="1:28" x14ac:dyDescent="0.3">
      <c r="A4620" s="2"/>
      <c r="F4620" s="3"/>
      <c r="G4620" s="3"/>
      <c r="N4620" s="3"/>
      <c r="Q4620" s="3"/>
      <c r="R4620" s="3"/>
      <c r="S4620" s="3"/>
      <c r="V4620" s="3"/>
      <c r="W4620" s="3"/>
      <c r="X4620" s="3"/>
      <c r="Y4620" s="3"/>
      <c r="Z4620" s="3"/>
      <c r="AA4620" s="3"/>
      <c r="AB4620" s="3"/>
    </row>
    <row r="4621" spans="1:28" x14ac:dyDescent="0.3">
      <c r="A4621" s="2"/>
      <c r="F4621" s="3"/>
      <c r="G4621" s="3"/>
      <c r="N4621" s="3"/>
      <c r="Q4621" s="3"/>
      <c r="R4621" s="3"/>
      <c r="S4621" s="3"/>
      <c r="V4621" s="3"/>
      <c r="W4621" s="3"/>
      <c r="X4621" s="3"/>
      <c r="Y4621" s="3"/>
      <c r="Z4621" s="3"/>
      <c r="AA4621" s="3"/>
      <c r="AB4621" s="3"/>
    </row>
    <row r="4622" spans="1:28" x14ac:dyDescent="0.3">
      <c r="A4622" s="2"/>
      <c r="F4622" s="3"/>
      <c r="G4622" s="3"/>
      <c r="N4622" s="3"/>
      <c r="Q4622" s="3"/>
      <c r="R4622" s="3"/>
      <c r="S4622" s="3"/>
      <c r="V4622" s="3"/>
      <c r="W4622" s="3"/>
      <c r="X4622" s="3"/>
      <c r="Y4622" s="3"/>
      <c r="Z4622" s="3"/>
      <c r="AA4622" s="3"/>
      <c r="AB4622" s="3"/>
    </row>
    <row r="4623" spans="1:28" x14ac:dyDescent="0.3">
      <c r="A4623" s="2"/>
      <c r="F4623" s="3"/>
      <c r="G4623" s="3"/>
      <c r="N4623" s="3"/>
      <c r="Q4623" s="3"/>
      <c r="R4623" s="3"/>
      <c r="S4623" s="3"/>
      <c r="V4623" s="3"/>
      <c r="W4623" s="3"/>
      <c r="X4623" s="3"/>
      <c r="Y4623" s="3"/>
      <c r="Z4623" s="3"/>
      <c r="AA4623" s="3"/>
      <c r="AB4623" s="3"/>
    </row>
    <row r="4624" spans="1:28" x14ac:dyDescent="0.3">
      <c r="A4624" s="2"/>
      <c r="F4624" s="3"/>
      <c r="G4624" s="3"/>
      <c r="N4624" s="3"/>
      <c r="Q4624" s="3"/>
      <c r="R4624" s="3"/>
      <c r="S4624" s="3"/>
      <c r="V4624" s="3"/>
      <c r="W4624" s="3"/>
      <c r="X4624" s="3"/>
      <c r="Y4624" s="3"/>
      <c r="Z4624" s="3"/>
      <c r="AA4624" s="3"/>
      <c r="AB4624" s="3"/>
    </row>
    <row r="4625" spans="1:28" x14ac:dyDescent="0.3">
      <c r="A4625" s="2"/>
      <c r="F4625" s="3"/>
      <c r="G4625" s="3"/>
      <c r="N4625" s="3"/>
      <c r="Q4625" s="3"/>
      <c r="R4625" s="3"/>
      <c r="S4625" s="3"/>
      <c r="V4625" s="3"/>
      <c r="W4625" s="3"/>
      <c r="X4625" s="3"/>
      <c r="Y4625" s="3"/>
      <c r="Z4625" s="3"/>
      <c r="AA4625" s="3"/>
      <c r="AB4625" s="3"/>
    </row>
    <row r="4626" spans="1:28" x14ac:dyDescent="0.3">
      <c r="A4626" s="2"/>
      <c r="F4626" s="3"/>
      <c r="G4626" s="3"/>
      <c r="N4626" s="3"/>
      <c r="Q4626" s="3"/>
      <c r="R4626" s="3"/>
      <c r="S4626" s="3"/>
      <c r="V4626" s="3"/>
      <c r="W4626" s="3"/>
      <c r="X4626" s="3"/>
      <c r="Y4626" s="3"/>
      <c r="Z4626" s="3"/>
      <c r="AA4626" s="3"/>
      <c r="AB4626" s="3"/>
    </row>
    <row r="4627" spans="1:28" x14ac:dyDescent="0.3">
      <c r="A4627" s="2"/>
      <c r="F4627" s="3"/>
      <c r="G4627" s="3"/>
      <c r="N4627" s="3"/>
      <c r="Q4627" s="3"/>
      <c r="R4627" s="3"/>
      <c r="S4627" s="3"/>
      <c r="V4627" s="3"/>
      <c r="W4627" s="3"/>
      <c r="X4627" s="3"/>
      <c r="Y4627" s="3"/>
      <c r="Z4627" s="3"/>
      <c r="AA4627" s="3"/>
      <c r="AB4627" s="3"/>
    </row>
    <row r="4628" spans="1:28" x14ac:dyDescent="0.3">
      <c r="A4628" s="2"/>
      <c r="F4628" s="3"/>
      <c r="G4628" s="3"/>
      <c r="N4628" s="3"/>
      <c r="Q4628" s="3"/>
      <c r="R4628" s="3"/>
      <c r="S4628" s="3"/>
      <c r="V4628" s="3"/>
      <c r="W4628" s="3"/>
      <c r="X4628" s="3"/>
      <c r="Y4628" s="3"/>
      <c r="Z4628" s="3"/>
      <c r="AA4628" s="3"/>
      <c r="AB4628" s="3"/>
    </row>
    <row r="4629" spans="1:28" x14ac:dyDescent="0.3">
      <c r="A4629" s="2"/>
      <c r="F4629" s="3"/>
      <c r="G4629" s="3"/>
      <c r="N4629" s="3"/>
      <c r="Q4629" s="3"/>
      <c r="R4629" s="3"/>
      <c r="S4629" s="3"/>
      <c r="V4629" s="3"/>
      <c r="W4629" s="3"/>
      <c r="X4629" s="3"/>
      <c r="Y4629" s="3"/>
      <c r="Z4629" s="3"/>
      <c r="AA4629" s="3"/>
      <c r="AB4629" s="3"/>
    </row>
    <row r="4630" spans="1:28" x14ac:dyDescent="0.3">
      <c r="A4630" s="2"/>
      <c r="F4630" s="3"/>
      <c r="G4630" s="3"/>
      <c r="N4630" s="3"/>
      <c r="Q4630" s="3"/>
      <c r="R4630" s="3"/>
      <c r="S4630" s="3"/>
      <c r="V4630" s="3"/>
      <c r="W4630" s="3"/>
      <c r="X4630" s="3"/>
      <c r="Y4630" s="3"/>
      <c r="Z4630" s="3"/>
      <c r="AA4630" s="3"/>
      <c r="AB4630" s="3"/>
    </row>
    <row r="4631" spans="1:28" x14ac:dyDescent="0.3">
      <c r="A4631" s="2"/>
      <c r="F4631" s="3"/>
      <c r="G4631" s="3"/>
      <c r="N4631" s="3"/>
      <c r="Q4631" s="3"/>
      <c r="R4631" s="3"/>
      <c r="S4631" s="3"/>
      <c r="V4631" s="3"/>
      <c r="W4631" s="3"/>
      <c r="X4631" s="3"/>
      <c r="Y4631" s="3"/>
      <c r="Z4631" s="3"/>
      <c r="AA4631" s="3"/>
      <c r="AB4631" s="3"/>
    </row>
    <row r="4632" spans="1:28" x14ac:dyDescent="0.3">
      <c r="A4632" s="2"/>
      <c r="F4632" s="3"/>
      <c r="G4632" s="3"/>
      <c r="N4632" s="3"/>
      <c r="Q4632" s="3"/>
      <c r="R4632" s="3"/>
      <c r="S4632" s="3"/>
      <c r="V4632" s="3"/>
      <c r="W4632" s="3"/>
      <c r="X4632" s="3"/>
      <c r="Y4632" s="3"/>
      <c r="Z4632" s="3"/>
      <c r="AA4632" s="3"/>
      <c r="AB4632" s="3"/>
    </row>
    <row r="4633" spans="1:28" x14ac:dyDescent="0.3">
      <c r="A4633" s="2"/>
      <c r="F4633" s="3"/>
      <c r="G4633" s="3"/>
      <c r="N4633" s="3"/>
      <c r="Q4633" s="3"/>
      <c r="R4633" s="3"/>
      <c r="S4633" s="3"/>
      <c r="V4633" s="3"/>
      <c r="W4633" s="3"/>
      <c r="X4633" s="3"/>
      <c r="Y4633" s="3"/>
      <c r="Z4633" s="3"/>
      <c r="AA4633" s="3"/>
      <c r="AB4633" s="3"/>
    </row>
    <row r="4634" spans="1:28" x14ac:dyDescent="0.3">
      <c r="A4634" s="2"/>
      <c r="F4634" s="3"/>
      <c r="G4634" s="3"/>
      <c r="N4634" s="3"/>
      <c r="Q4634" s="3"/>
      <c r="R4634" s="3"/>
      <c r="S4634" s="3"/>
      <c r="V4634" s="3"/>
      <c r="W4634" s="3"/>
      <c r="X4634" s="3"/>
      <c r="Y4634" s="3"/>
      <c r="Z4634" s="3"/>
      <c r="AA4634" s="3"/>
      <c r="AB4634" s="3"/>
    </row>
    <row r="4635" spans="1:28" x14ac:dyDescent="0.3">
      <c r="A4635" s="2"/>
      <c r="F4635" s="3"/>
      <c r="G4635" s="3"/>
      <c r="N4635" s="3"/>
      <c r="Q4635" s="3"/>
      <c r="R4635" s="3"/>
      <c r="S4635" s="3"/>
      <c r="V4635" s="3"/>
      <c r="W4635" s="3"/>
      <c r="X4635" s="3"/>
      <c r="Y4635" s="3"/>
      <c r="Z4635" s="3"/>
      <c r="AA4635" s="3"/>
      <c r="AB4635" s="3"/>
    </row>
    <row r="4636" spans="1:28" x14ac:dyDescent="0.3">
      <c r="A4636" s="2"/>
      <c r="F4636" s="3"/>
      <c r="G4636" s="3"/>
      <c r="N4636" s="3"/>
      <c r="Q4636" s="3"/>
      <c r="R4636" s="3"/>
      <c r="S4636" s="3"/>
      <c r="V4636" s="3"/>
      <c r="W4636" s="3"/>
      <c r="X4636" s="3"/>
      <c r="Y4636" s="3"/>
      <c r="Z4636" s="3"/>
      <c r="AA4636" s="3"/>
      <c r="AB4636" s="3"/>
    </row>
    <row r="4637" spans="1:28" x14ac:dyDescent="0.3">
      <c r="A4637" s="2"/>
      <c r="F4637" s="3"/>
      <c r="G4637" s="3"/>
      <c r="N4637" s="3"/>
      <c r="Q4637" s="3"/>
      <c r="R4637" s="3"/>
      <c r="S4637" s="3"/>
      <c r="V4637" s="3"/>
      <c r="W4637" s="3"/>
      <c r="X4637" s="3"/>
      <c r="Y4637" s="3"/>
      <c r="Z4637" s="3"/>
      <c r="AA4637" s="3"/>
      <c r="AB4637" s="3"/>
    </row>
    <row r="4638" spans="1:28" x14ac:dyDescent="0.3">
      <c r="A4638" s="2"/>
      <c r="F4638" s="3"/>
      <c r="G4638" s="3"/>
      <c r="N4638" s="3"/>
      <c r="Q4638" s="3"/>
      <c r="R4638" s="3"/>
      <c r="S4638" s="3"/>
      <c r="V4638" s="3"/>
      <c r="W4638" s="3"/>
      <c r="X4638" s="3"/>
      <c r="Y4638" s="3"/>
      <c r="Z4638" s="3"/>
      <c r="AA4638" s="3"/>
      <c r="AB4638" s="3"/>
    </row>
    <row r="4639" spans="1:28" x14ac:dyDescent="0.3">
      <c r="A4639" s="2"/>
      <c r="F4639" s="3"/>
      <c r="G4639" s="3"/>
      <c r="N4639" s="3"/>
      <c r="Q4639" s="3"/>
      <c r="R4639" s="3"/>
      <c r="S4639" s="3"/>
      <c r="V4639" s="3"/>
      <c r="W4639" s="3"/>
      <c r="X4639" s="3"/>
      <c r="Y4639" s="3"/>
      <c r="Z4639" s="3"/>
      <c r="AA4639" s="3"/>
      <c r="AB4639" s="3"/>
    </row>
    <row r="4640" spans="1:28" x14ac:dyDescent="0.3">
      <c r="A4640" s="2"/>
      <c r="F4640" s="3"/>
      <c r="G4640" s="3"/>
      <c r="N4640" s="3"/>
      <c r="Q4640" s="3"/>
      <c r="R4640" s="3"/>
      <c r="S4640" s="3"/>
      <c r="V4640" s="3"/>
      <c r="W4640" s="3"/>
      <c r="X4640" s="3"/>
      <c r="Y4640" s="3"/>
      <c r="Z4640" s="3"/>
      <c r="AA4640" s="3"/>
      <c r="AB4640" s="3"/>
    </row>
    <row r="4641" spans="1:28" x14ac:dyDescent="0.3">
      <c r="A4641" s="2"/>
      <c r="F4641" s="3"/>
      <c r="G4641" s="3"/>
      <c r="N4641" s="3"/>
      <c r="Q4641" s="3"/>
      <c r="R4641" s="3"/>
      <c r="S4641" s="3"/>
      <c r="V4641" s="3"/>
      <c r="W4641" s="3"/>
      <c r="X4641" s="3"/>
      <c r="Y4641" s="3"/>
      <c r="Z4641" s="3"/>
      <c r="AA4641" s="3"/>
      <c r="AB4641" s="3"/>
    </row>
    <row r="4642" spans="1:28" x14ac:dyDescent="0.3">
      <c r="A4642" s="2"/>
      <c r="F4642" s="3"/>
      <c r="G4642" s="3"/>
      <c r="N4642" s="3"/>
      <c r="Q4642" s="3"/>
      <c r="R4642" s="3"/>
      <c r="S4642" s="3"/>
      <c r="V4642" s="3"/>
      <c r="W4642" s="3"/>
      <c r="X4642" s="3"/>
      <c r="Y4642" s="3"/>
      <c r="Z4642" s="3"/>
      <c r="AA4642" s="3"/>
      <c r="AB4642" s="3"/>
    </row>
    <row r="4643" spans="1:28" x14ac:dyDescent="0.3">
      <c r="A4643" s="2"/>
      <c r="F4643" s="3"/>
      <c r="G4643" s="3"/>
      <c r="N4643" s="3"/>
      <c r="Q4643" s="3"/>
      <c r="R4643" s="3"/>
      <c r="S4643" s="3"/>
      <c r="V4643" s="3"/>
      <c r="W4643" s="3"/>
      <c r="X4643" s="3"/>
      <c r="Y4643" s="3"/>
      <c r="Z4643" s="3"/>
      <c r="AA4643" s="3"/>
      <c r="AB4643" s="3"/>
    </row>
    <row r="4644" spans="1:28" x14ac:dyDescent="0.3">
      <c r="A4644" s="2"/>
      <c r="F4644" s="3"/>
      <c r="G4644" s="3"/>
      <c r="N4644" s="3"/>
      <c r="Q4644" s="3"/>
      <c r="R4644" s="3"/>
      <c r="S4644" s="3"/>
      <c r="V4644" s="3"/>
      <c r="W4644" s="3"/>
      <c r="X4644" s="3"/>
      <c r="Y4644" s="3"/>
      <c r="Z4644" s="3"/>
      <c r="AA4644" s="3"/>
      <c r="AB4644" s="3"/>
    </row>
    <row r="4645" spans="1:28" x14ac:dyDescent="0.3">
      <c r="A4645" s="2"/>
      <c r="F4645" s="3"/>
      <c r="G4645" s="3"/>
      <c r="N4645" s="3"/>
      <c r="Q4645" s="3"/>
      <c r="R4645" s="3"/>
      <c r="S4645" s="3"/>
      <c r="V4645" s="3"/>
      <c r="W4645" s="3"/>
      <c r="X4645" s="3"/>
      <c r="Y4645" s="3"/>
      <c r="Z4645" s="3"/>
      <c r="AA4645" s="3"/>
      <c r="AB4645" s="3"/>
    </row>
    <row r="4646" spans="1:28" x14ac:dyDescent="0.3">
      <c r="A4646" s="2"/>
      <c r="F4646" s="3"/>
      <c r="G4646" s="3"/>
      <c r="N4646" s="3"/>
      <c r="Q4646" s="3"/>
      <c r="R4646" s="3"/>
      <c r="S4646" s="3"/>
      <c r="V4646" s="3"/>
      <c r="W4646" s="3"/>
      <c r="X4646" s="3"/>
      <c r="Y4646" s="3"/>
      <c r="Z4646" s="3"/>
      <c r="AA4646" s="3"/>
      <c r="AB4646" s="3"/>
    </row>
    <row r="4647" spans="1:28" x14ac:dyDescent="0.3">
      <c r="A4647" s="2"/>
      <c r="F4647" s="3"/>
      <c r="G4647" s="3"/>
      <c r="N4647" s="3"/>
      <c r="Q4647" s="3"/>
      <c r="R4647" s="3"/>
      <c r="S4647" s="3"/>
      <c r="V4647" s="3"/>
      <c r="W4647" s="3"/>
      <c r="X4647" s="3"/>
      <c r="Y4647" s="3"/>
      <c r="Z4647" s="3"/>
      <c r="AA4647" s="3"/>
      <c r="AB4647" s="3"/>
    </row>
    <row r="4648" spans="1:28" x14ac:dyDescent="0.3">
      <c r="A4648" s="2"/>
      <c r="F4648" s="3"/>
      <c r="G4648" s="3"/>
      <c r="N4648" s="3"/>
      <c r="Q4648" s="3"/>
      <c r="R4648" s="3"/>
      <c r="S4648" s="3"/>
      <c r="V4648" s="3"/>
      <c r="W4648" s="3"/>
      <c r="X4648" s="3"/>
      <c r="Y4648" s="3"/>
      <c r="Z4648" s="3"/>
      <c r="AA4648" s="3"/>
      <c r="AB4648" s="3"/>
    </row>
    <row r="4649" spans="1:28" x14ac:dyDescent="0.3">
      <c r="A4649" s="2"/>
      <c r="F4649" s="3"/>
      <c r="G4649" s="3"/>
      <c r="N4649" s="3"/>
      <c r="Q4649" s="3"/>
      <c r="R4649" s="3"/>
      <c r="S4649" s="3"/>
      <c r="V4649" s="3"/>
      <c r="W4649" s="3"/>
      <c r="X4649" s="3"/>
      <c r="Y4649" s="3"/>
      <c r="Z4649" s="3"/>
      <c r="AA4649" s="3"/>
      <c r="AB4649" s="3"/>
    </row>
    <row r="4650" spans="1:28" x14ac:dyDescent="0.3">
      <c r="A4650" s="2"/>
      <c r="F4650" s="3"/>
      <c r="G4650" s="3"/>
      <c r="N4650" s="3"/>
      <c r="Q4650" s="3"/>
      <c r="R4650" s="3"/>
      <c r="S4650" s="3"/>
      <c r="V4650" s="3"/>
      <c r="W4650" s="3"/>
      <c r="X4650" s="3"/>
      <c r="Y4650" s="3"/>
      <c r="Z4650" s="3"/>
      <c r="AA4650" s="3"/>
      <c r="AB4650" s="3"/>
    </row>
    <row r="4651" spans="1:28" x14ac:dyDescent="0.3">
      <c r="A4651" s="2"/>
      <c r="F4651" s="3"/>
      <c r="G4651" s="3"/>
      <c r="N4651" s="3"/>
      <c r="Q4651" s="3"/>
      <c r="R4651" s="3"/>
      <c r="S4651" s="3"/>
      <c r="V4651" s="3"/>
      <c r="W4651" s="3"/>
      <c r="X4651" s="3"/>
      <c r="Y4651" s="3"/>
      <c r="Z4651" s="3"/>
      <c r="AA4651" s="3"/>
      <c r="AB4651" s="3"/>
    </row>
    <row r="4652" spans="1:28" x14ac:dyDescent="0.3">
      <c r="A4652" s="2"/>
      <c r="F4652" s="3"/>
      <c r="G4652" s="3"/>
      <c r="N4652" s="3"/>
      <c r="Q4652" s="3"/>
      <c r="R4652" s="3"/>
      <c r="S4652" s="3"/>
      <c r="V4652" s="3"/>
      <c r="W4652" s="3"/>
      <c r="X4652" s="3"/>
      <c r="Y4652" s="3"/>
      <c r="Z4652" s="3"/>
      <c r="AA4652" s="3"/>
      <c r="AB4652" s="3"/>
    </row>
    <row r="4653" spans="1:28" x14ac:dyDescent="0.3">
      <c r="A4653" s="2"/>
      <c r="F4653" s="3"/>
      <c r="G4653" s="3"/>
      <c r="N4653" s="3"/>
      <c r="Q4653" s="3"/>
      <c r="R4653" s="3"/>
      <c r="S4653" s="3"/>
      <c r="V4653" s="3"/>
      <c r="W4653" s="3"/>
      <c r="X4653" s="3"/>
      <c r="Y4653" s="3"/>
      <c r="Z4653" s="3"/>
      <c r="AA4653" s="3"/>
      <c r="AB4653" s="3"/>
    </row>
    <row r="4654" spans="1:28" x14ac:dyDescent="0.3">
      <c r="A4654" s="2"/>
      <c r="F4654" s="3"/>
      <c r="G4654" s="3"/>
      <c r="N4654" s="3"/>
      <c r="Q4654" s="3"/>
      <c r="R4654" s="3"/>
      <c r="S4654" s="3"/>
      <c r="V4654" s="3"/>
      <c r="W4654" s="3"/>
      <c r="X4654" s="3"/>
      <c r="Y4654" s="3"/>
      <c r="Z4654" s="3"/>
      <c r="AA4654" s="3"/>
      <c r="AB4654" s="3"/>
    </row>
    <row r="4655" spans="1:28" x14ac:dyDescent="0.3">
      <c r="A4655" s="2"/>
      <c r="F4655" s="3"/>
      <c r="G4655" s="3"/>
      <c r="N4655" s="3"/>
      <c r="Q4655" s="3"/>
      <c r="R4655" s="3"/>
      <c r="S4655" s="3"/>
      <c r="V4655" s="3"/>
      <c r="W4655" s="3"/>
      <c r="X4655" s="3"/>
      <c r="Y4655" s="3"/>
      <c r="Z4655" s="3"/>
      <c r="AA4655" s="3"/>
      <c r="AB4655" s="3"/>
    </row>
    <row r="4656" spans="1:28" x14ac:dyDescent="0.3">
      <c r="A4656" s="2"/>
      <c r="F4656" s="3"/>
      <c r="G4656" s="3"/>
      <c r="N4656" s="3"/>
      <c r="Q4656" s="3"/>
      <c r="R4656" s="3"/>
      <c r="S4656" s="3"/>
      <c r="V4656" s="3"/>
      <c r="W4656" s="3"/>
      <c r="X4656" s="3"/>
      <c r="Y4656" s="3"/>
      <c r="Z4656" s="3"/>
      <c r="AA4656" s="3"/>
      <c r="AB4656" s="3"/>
    </row>
    <row r="4657" spans="1:28" x14ac:dyDescent="0.3">
      <c r="A4657" s="2"/>
      <c r="F4657" s="3"/>
      <c r="G4657" s="3"/>
      <c r="N4657" s="3"/>
      <c r="Q4657" s="3"/>
      <c r="R4657" s="3"/>
      <c r="S4657" s="3"/>
      <c r="V4657" s="3"/>
      <c r="W4657" s="3"/>
      <c r="X4657" s="3"/>
      <c r="Y4657" s="3"/>
      <c r="Z4657" s="3"/>
      <c r="AA4657" s="3"/>
      <c r="AB4657" s="3"/>
    </row>
    <row r="4658" spans="1:28" x14ac:dyDescent="0.3">
      <c r="A4658" s="2"/>
      <c r="F4658" s="3"/>
      <c r="G4658" s="3"/>
      <c r="N4658" s="3"/>
      <c r="Q4658" s="3"/>
      <c r="R4658" s="3"/>
      <c r="S4658" s="3"/>
      <c r="V4658" s="3"/>
      <c r="W4658" s="3"/>
      <c r="X4658" s="3"/>
      <c r="Y4658" s="3"/>
      <c r="Z4658" s="3"/>
      <c r="AA4658" s="3"/>
      <c r="AB4658" s="3"/>
    </row>
    <row r="4659" spans="1:28" x14ac:dyDescent="0.3">
      <c r="A4659" s="2"/>
      <c r="F4659" s="3"/>
      <c r="G4659" s="3"/>
      <c r="N4659" s="3"/>
      <c r="Q4659" s="3"/>
      <c r="R4659" s="3"/>
      <c r="S4659" s="3"/>
      <c r="V4659" s="3"/>
      <c r="W4659" s="3"/>
      <c r="X4659" s="3"/>
      <c r="Y4659" s="3"/>
      <c r="Z4659" s="3"/>
      <c r="AA4659" s="3"/>
      <c r="AB4659" s="3"/>
    </row>
    <row r="4660" spans="1:28" x14ac:dyDescent="0.3">
      <c r="A4660" s="2"/>
      <c r="F4660" s="3"/>
      <c r="G4660" s="3"/>
      <c r="N4660" s="3"/>
      <c r="Q4660" s="3"/>
      <c r="R4660" s="3"/>
      <c r="S4660" s="3"/>
      <c r="V4660" s="3"/>
      <c r="W4660" s="3"/>
      <c r="X4660" s="3"/>
      <c r="Y4660" s="3"/>
      <c r="Z4660" s="3"/>
      <c r="AA4660" s="3"/>
      <c r="AB4660" s="3"/>
    </row>
    <row r="4661" spans="1:28" x14ac:dyDescent="0.3">
      <c r="A4661" s="2"/>
      <c r="F4661" s="3"/>
      <c r="G4661" s="3"/>
      <c r="N4661" s="3"/>
      <c r="Q4661" s="3"/>
      <c r="R4661" s="3"/>
      <c r="S4661" s="3"/>
      <c r="V4661" s="3"/>
      <c r="W4661" s="3"/>
      <c r="X4661" s="3"/>
      <c r="Y4661" s="3"/>
      <c r="Z4661" s="3"/>
      <c r="AA4661" s="3"/>
      <c r="AB4661" s="3"/>
    </row>
    <row r="4662" spans="1:28" x14ac:dyDescent="0.3">
      <c r="A4662" s="2"/>
      <c r="F4662" s="3"/>
      <c r="G4662" s="3"/>
      <c r="N4662" s="3"/>
      <c r="Q4662" s="3"/>
      <c r="R4662" s="3"/>
      <c r="S4662" s="3"/>
      <c r="V4662" s="3"/>
      <c r="W4662" s="3"/>
      <c r="X4662" s="3"/>
      <c r="Y4662" s="3"/>
      <c r="Z4662" s="3"/>
      <c r="AA4662" s="3"/>
      <c r="AB4662" s="3"/>
    </row>
    <row r="4663" spans="1:28" x14ac:dyDescent="0.3">
      <c r="A4663" s="2"/>
      <c r="F4663" s="3"/>
      <c r="G4663" s="3"/>
      <c r="N4663" s="3"/>
      <c r="Q4663" s="3"/>
      <c r="R4663" s="3"/>
      <c r="S4663" s="3"/>
      <c r="V4663" s="3"/>
      <c r="W4663" s="3"/>
      <c r="X4663" s="3"/>
      <c r="Y4663" s="3"/>
      <c r="Z4663" s="3"/>
      <c r="AA4663" s="3"/>
      <c r="AB4663" s="3"/>
    </row>
    <row r="4664" spans="1:28" x14ac:dyDescent="0.3">
      <c r="A4664" s="2"/>
      <c r="F4664" s="3"/>
      <c r="G4664" s="3"/>
      <c r="N4664" s="3"/>
      <c r="Q4664" s="3"/>
      <c r="R4664" s="3"/>
      <c r="S4664" s="3"/>
      <c r="V4664" s="3"/>
      <c r="W4664" s="3"/>
      <c r="X4664" s="3"/>
      <c r="Y4664" s="3"/>
      <c r="Z4664" s="3"/>
      <c r="AA4664" s="3"/>
      <c r="AB4664" s="3"/>
    </row>
    <row r="4665" spans="1:28" x14ac:dyDescent="0.3">
      <c r="A4665" s="2"/>
      <c r="F4665" s="3"/>
      <c r="G4665" s="3"/>
      <c r="N4665" s="3"/>
      <c r="Q4665" s="3"/>
      <c r="R4665" s="3"/>
      <c r="S4665" s="3"/>
      <c r="V4665" s="3"/>
      <c r="W4665" s="3"/>
      <c r="X4665" s="3"/>
      <c r="Y4665" s="3"/>
      <c r="Z4665" s="3"/>
      <c r="AA4665" s="3"/>
      <c r="AB4665" s="3"/>
    </row>
    <row r="4666" spans="1:28" x14ac:dyDescent="0.3">
      <c r="A4666" s="2"/>
      <c r="F4666" s="3"/>
      <c r="G4666" s="3"/>
      <c r="N4666" s="3"/>
      <c r="Q4666" s="3"/>
      <c r="R4666" s="3"/>
      <c r="S4666" s="3"/>
      <c r="V4666" s="3"/>
      <c r="W4666" s="3"/>
      <c r="X4666" s="3"/>
      <c r="Y4666" s="3"/>
      <c r="Z4666" s="3"/>
      <c r="AA4666" s="3"/>
      <c r="AB4666" s="3"/>
    </row>
    <row r="4667" spans="1:28" x14ac:dyDescent="0.3">
      <c r="A4667" s="2"/>
      <c r="F4667" s="3"/>
      <c r="G4667" s="3"/>
      <c r="N4667" s="3"/>
      <c r="Q4667" s="3"/>
      <c r="R4667" s="3"/>
      <c r="S4667" s="3"/>
      <c r="V4667" s="3"/>
      <c r="W4667" s="3"/>
      <c r="X4667" s="3"/>
      <c r="Y4667" s="3"/>
      <c r="Z4667" s="3"/>
      <c r="AA4667" s="3"/>
      <c r="AB4667" s="3"/>
    </row>
    <row r="4668" spans="1:28" x14ac:dyDescent="0.3">
      <c r="A4668" s="2"/>
      <c r="F4668" s="3"/>
      <c r="G4668" s="3"/>
      <c r="N4668" s="3"/>
      <c r="Q4668" s="3"/>
      <c r="R4668" s="3"/>
      <c r="S4668" s="3"/>
      <c r="V4668" s="3"/>
      <c r="W4668" s="3"/>
      <c r="X4668" s="3"/>
      <c r="Y4668" s="3"/>
      <c r="Z4668" s="3"/>
      <c r="AA4668" s="3"/>
      <c r="AB4668" s="3"/>
    </row>
    <row r="4669" spans="1:28" x14ac:dyDescent="0.3">
      <c r="A4669" s="2"/>
      <c r="F4669" s="3"/>
      <c r="G4669" s="3"/>
      <c r="N4669" s="3"/>
      <c r="Q4669" s="3"/>
      <c r="R4669" s="3"/>
      <c r="S4669" s="3"/>
      <c r="V4669" s="3"/>
      <c r="W4669" s="3"/>
      <c r="X4669" s="3"/>
      <c r="Y4669" s="3"/>
      <c r="Z4669" s="3"/>
      <c r="AA4669" s="3"/>
      <c r="AB4669" s="3"/>
    </row>
    <row r="4670" spans="1:28" x14ac:dyDescent="0.3">
      <c r="A4670" s="2"/>
      <c r="F4670" s="3"/>
      <c r="G4670" s="3"/>
      <c r="N4670" s="3"/>
      <c r="Q4670" s="3"/>
      <c r="R4670" s="3"/>
      <c r="S4670" s="3"/>
      <c r="V4670" s="3"/>
      <c r="W4670" s="3"/>
      <c r="X4670" s="3"/>
      <c r="Y4670" s="3"/>
      <c r="Z4670" s="3"/>
      <c r="AA4670" s="3"/>
      <c r="AB4670" s="3"/>
    </row>
    <row r="4671" spans="1:28" x14ac:dyDescent="0.3">
      <c r="A4671" s="2"/>
      <c r="F4671" s="3"/>
      <c r="G4671" s="3"/>
      <c r="N4671" s="3"/>
      <c r="Q4671" s="3"/>
      <c r="R4671" s="3"/>
      <c r="S4671" s="3"/>
      <c r="V4671" s="3"/>
      <c r="W4671" s="3"/>
      <c r="X4671" s="3"/>
      <c r="Y4671" s="3"/>
      <c r="Z4671" s="3"/>
      <c r="AA4671" s="3"/>
      <c r="AB4671" s="3"/>
    </row>
    <row r="4672" spans="1:28" x14ac:dyDescent="0.3">
      <c r="A4672" s="2"/>
      <c r="F4672" s="3"/>
      <c r="G4672" s="3"/>
      <c r="N4672" s="3"/>
      <c r="Q4672" s="3"/>
      <c r="R4672" s="3"/>
      <c r="S4672" s="3"/>
      <c r="V4672" s="3"/>
      <c r="W4672" s="3"/>
      <c r="X4672" s="3"/>
      <c r="Y4672" s="3"/>
      <c r="Z4672" s="3"/>
      <c r="AA4672" s="3"/>
      <c r="AB4672" s="3"/>
    </row>
    <row r="4673" spans="1:28" x14ac:dyDescent="0.3">
      <c r="A4673" s="2"/>
      <c r="F4673" s="3"/>
      <c r="G4673" s="3"/>
      <c r="N4673" s="3"/>
      <c r="Q4673" s="3"/>
      <c r="R4673" s="3"/>
      <c r="S4673" s="3"/>
      <c r="V4673" s="3"/>
      <c r="W4673" s="3"/>
      <c r="X4673" s="3"/>
      <c r="Y4673" s="3"/>
      <c r="Z4673" s="3"/>
      <c r="AA4673" s="3"/>
      <c r="AB4673" s="3"/>
    </row>
    <row r="4674" spans="1:28" x14ac:dyDescent="0.3">
      <c r="A4674" s="2"/>
      <c r="F4674" s="3"/>
      <c r="G4674" s="3"/>
      <c r="N4674" s="3"/>
      <c r="Q4674" s="3"/>
      <c r="R4674" s="3"/>
      <c r="S4674" s="3"/>
      <c r="V4674" s="3"/>
      <c r="W4674" s="3"/>
      <c r="X4674" s="3"/>
      <c r="Y4674" s="3"/>
      <c r="Z4674" s="3"/>
      <c r="AA4674" s="3"/>
      <c r="AB4674" s="3"/>
    </row>
    <row r="4675" spans="1:28" x14ac:dyDescent="0.3">
      <c r="A4675" s="2"/>
      <c r="F4675" s="3"/>
      <c r="G4675" s="3"/>
      <c r="N4675" s="3"/>
      <c r="Q4675" s="3"/>
      <c r="R4675" s="3"/>
      <c r="S4675" s="3"/>
      <c r="V4675" s="3"/>
      <c r="W4675" s="3"/>
      <c r="X4675" s="3"/>
      <c r="Y4675" s="3"/>
      <c r="Z4675" s="3"/>
      <c r="AA4675" s="3"/>
      <c r="AB4675" s="3"/>
    </row>
    <row r="4676" spans="1:28" x14ac:dyDescent="0.3">
      <c r="A4676" s="2"/>
      <c r="F4676" s="3"/>
      <c r="G4676" s="3"/>
      <c r="N4676" s="3"/>
      <c r="Q4676" s="3"/>
      <c r="R4676" s="3"/>
      <c r="S4676" s="3"/>
      <c r="V4676" s="3"/>
      <c r="W4676" s="3"/>
      <c r="X4676" s="3"/>
      <c r="Y4676" s="3"/>
      <c r="Z4676" s="3"/>
      <c r="AA4676" s="3"/>
      <c r="AB4676" s="3"/>
    </row>
    <row r="4677" spans="1:28" x14ac:dyDescent="0.3">
      <c r="A4677" s="2"/>
      <c r="F4677" s="3"/>
      <c r="G4677" s="3"/>
      <c r="N4677" s="3"/>
      <c r="Q4677" s="3"/>
      <c r="R4677" s="3"/>
      <c r="S4677" s="3"/>
      <c r="V4677" s="3"/>
      <c r="W4677" s="3"/>
      <c r="X4677" s="3"/>
      <c r="Y4677" s="3"/>
      <c r="Z4677" s="3"/>
      <c r="AA4677" s="3"/>
      <c r="AB4677" s="3"/>
    </row>
    <row r="4678" spans="1:28" x14ac:dyDescent="0.3">
      <c r="A4678" s="2"/>
      <c r="F4678" s="3"/>
      <c r="G4678" s="3"/>
      <c r="N4678" s="3"/>
      <c r="Q4678" s="3"/>
      <c r="R4678" s="3"/>
      <c r="S4678" s="3"/>
      <c r="V4678" s="3"/>
      <c r="W4678" s="3"/>
      <c r="X4678" s="3"/>
      <c r="Y4678" s="3"/>
      <c r="Z4678" s="3"/>
      <c r="AA4678" s="3"/>
      <c r="AB4678" s="3"/>
    </row>
    <row r="4679" spans="1:28" x14ac:dyDescent="0.3">
      <c r="A4679" s="2"/>
      <c r="F4679" s="3"/>
      <c r="G4679" s="3"/>
      <c r="N4679" s="3"/>
      <c r="Q4679" s="3"/>
      <c r="R4679" s="3"/>
      <c r="S4679" s="3"/>
      <c r="V4679" s="3"/>
      <c r="W4679" s="3"/>
      <c r="X4679" s="3"/>
      <c r="Y4679" s="3"/>
      <c r="Z4679" s="3"/>
      <c r="AA4679" s="3"/>
      <c r="AB4679" s="3"/>
    </row>
    <row r="4680" spans="1:28" x14ac:dyDescent="0.3">
      <c r="A4680" s="2"/>
      <c r="F4680" s="3"/>
      <c r="G4680" s="3"/>
      <c r="N4680" s="3"/>
      <c r="Q4680" s="3"/>
      <c r="R4680" s="3"/>
      <c r="S4680" s="3"/>
      <c r="V4680" s="3"/>
      <c r="W4680" s="3"/>
      <c r="X4680" s="3"/>
      <c r="Y4680" s="3"/>
      <c r="Z4680" s="3"/>
      <c r="AA4680" s="3"/>
      <c r="AB4680" s="3"/>
    </row>
    <row r="4681" spans="1:28" x14ac:dyDescent="0.3">
      <c r="A4681" s="2"/>
      <c r="F4681" s="3"/>
      <c r="G4681" s="3"/>
      <c r="N4681" s="3"/>
      <c r="Q4681" s="3"/>
      <c r="R4681" s="3"/>
      <c r="S4681" s="3"/>
      <c r="V4681" s="3"/>
      <c r="W4681" s="3"/>
      <c r="X4681" s="3"/>
      <c r="Y4681" s="3"/>
      <c r="Z4681" s="3"/>
      <c r="AA4681" s="3"/>
      <c r="AB4681" s="3"/>
    </row>
    <row r="4682" spans="1:28" x14ac:dyDescent="0.3">
      <c r="A4682" s="2"/>
      <c r="F4682" s="3"/>
      <c r="G4682" s="3"/>
      <c r="N4682" s="3"/>
      <c r="Q4682" s="3"/>
      <c r="R4682" s="3"/>
      <c r="S4682" s="3"/>
      <c r="V4682" s="3"/>
      <c r="W4682" s="3"/>
      <c r="X4682" s="3"/>
      <c r="Y4682" s="3"/>
      <c r="Z4682" s="3"/>
      <c r="AA4682" s="3"/>
      <c r="AB4682" s="3"/>
    </row>
    <row r="4683" spans="1:28" x14ac:dyDescent="0.3">
      <c r="A4683" s="2"/>
      <c r="F4683" s="3"/>
      <c r="G4683" s="3"/>
      <c r="N4683" s="3"/>
      <c r="Q4683" s="3"/>
      <c r="R4683" s="3"/>
      <c r="S4683" s="3"/>
      <c r="V4683" s="3"/>
      <c r="W4683" s="3"/>
      <c r="X4683" s="3"/>
      <c r="Y4683" s="3"/>
      <c r="Z4683" s="3"/>
      <c r="AA4683" s="3"/>
      <c r="AB4683" s="3"/>
    </row>
    <row r="4684" spans="1:28" x14ac:dyDescent="0.3">
      <c r="A4684" s="2"/>
      <c r="F4684" s="3"/>
      <c r="G4684" s="3"/>
      <c r="N4684" s="3"/>
      <c r="Q4684" s="3"/>
      <c r="R4684" s="3"/>
      <c r="S4684" s="3"/>
      <c r="V4684" s="3"/>
      <c r="W4684" s="3"/>
      <c r="X4684" s="3"/>
      <c r="Y4684" s="3"/>
      <c r="Z4684" s="3"/>
      <c r="AA4684" s="3"/>
      <c r="AB4684" s="3"/>
    </row>
    <row r="4685" spans="1:28" x14ac:dyDescent="0.3">
      <c r="A4685" s="2"/>
      <c r="F4685" s="3"/>
      <c r="G4685" s="3"/>
      <c r="N4685" s="3"/>
      <c r="Q4685" s="3"/>
      <c r="R4685" s="3"/>
      <c r="S4685" s="3"/>
      <c r="V4685" s="3"/>
      <c r="W4685" s="3"/>
      <c r="X4685" s="3"/>
      <c r="Y4685" s="3"/>
      <c r="Z4685" s="3"/>
      <c r="AA4685" s="3"/>
      <c r="AB4685" s="3"/>
    </row>
    <row r="4686" spans="1:28" x14ac:dyDescent="0.3">
      <c r="A4686" s="2"/>
      <c r="F4686" s="3"/>
      <c r="G4686" s="3"/>
      <c r="N4686" s="3"/>
      <c r="Q4686" s="3"/>
      <c r="R4686" s="3"/>
      <c r="S4686" s="3"/>
      <c r="V4686" s="3"/>
      <c r="W4686" s="3"/>
      <c r="X4686" s="3"/>
      <c r="Y4686" s="3"/>
      <c r="Z4686" s="3"/>
      <c r="AA4686" s="3"/>
      <c r="AB4686" s="3"/>
    </row>
    <row r="4687" spans="1:28" x14ac:dyDescent="0.3">
      <c r="A4687" s="2"/>
      <c r="F4687" s="3"/>
      <c r="G4687" s="3"/>
      <c r="N4687" s="3"/>
      <c r="Q4687" s="3"/>
      <c r="R4687" s="3"/>
      <c r="S4687" s="3"/>
      <c r="V4687" s="3"/>
      <c r="W4687" s="3"/>
      <c r="X4687" s="3"/>
      <c r="Y4687" s="3"/>
      <c r="Z4687" s="3"/>
      <c r="AA4687" s="3"/>
      <c r="AB4687" s="3"/>
    </row>
    <row r="4688" spans="1:28" x14ac:dyDescent="0.3">
      <c r="A4688" s="2"/>
      <c r="F4688" s="3"/>
      <c r="G4688" s="3"/>
      <c r="N4688" s="3"/>
      <c r="Q4688" s="3"/>
      <c r="R4688" s="3"/>
      <c r="S4688" s="3"/>
      <c r="V4688" s="3"/>
      <c r="W4688" s="3"/>
      <c r="X4688" s="3"/>
      <c r="Y4688" s="3"/>
      <c r="Z4688" s="3"/>
      <c r="AA4688" s="3"/>
      <c r="AB4688" s="3"/>
    </row>
    <row r="4689" spans="1:28" x14ac:dyDescent="0.3">
      <c r="A4689" s="2"/>
      <c r="F4689" s="3"/>
      <c r="G4689" s="3"/>
      <c r="N4689" s="3"/>
      <c r="Q4689" s="3"/>
      <c r="R4689" s="3"/>
      <c r="S4689" s="3"/>
      <c r="V4689" s="3"/>
      <c r="W4689" s="3"/>
      <c r="X4689" s="3"/>
      <c r="Y4689" s="3"/>
      <c r="Z4689" s="3"/>
      <c r="AA4689" s="3"/>
      <c r="AB4689" s="3"/>
    </row>
    <row r="4690" spans="1:28" x14ac:dyDescent="0.3">
      <c r="A4690" s="2"/>
      <c r="F4690" s="3"/>
      <c r="G4690" s="3"/>
      <c r="N4690" s="3"/>
      <c r="Q4690" s="3"/>
      <c r="R4690" s="3"/>
      <c r="S4690" s="3"/>
      <c r="V4690" s="3"/>
      <c r="W4690" s="3"/>
      <c r="X4690" s="3"/>
      <c r="Y4690" s="3"/>
      <c r="Z4690" s="3"/>
      <c r="AA4690" s="3"/>
      <c r="AB4690" s="3"/>
    </row>
    <row r="4691" spans="1:28" x14ac:dyDescent="0.3">
      <c r="A4691" s="2"/>
      <c r="F4691" s="3"/>
      <c r="G4691" s="3"/>
      <c r="N4691" s="3"/>
      <c r="Q4691" s="3"/>
      <c r="R4691" s="3"/>
      <c r="S4691" s="3"/>
      <c r="V4691" s="3"/>
      <c r="W4691" s="3"/>
      <c r="X4691" s="3"/>
      <c r="Y4691" s="3"/>
      <c r="Z4691" s="3"/>
      <c r="AA4691" s="3"/>
      <c r="AB4691" s="3"/>
    </row>
    <row r="4692" spans="1:28" x14ac:dyDescent="0.3">
      <c r="A4692" s="2"/>
      <c r="F4692" s="3"/>
      <c r="G4692" s="3"/>
      <c r="N4692" s="3"/>
      <c r="Q4692" s="3"/>
      <c r="R4692" s="3"/>
      <c r="S4692" s="3"/>
      <c r="V4692" s="3"/>
      <c r="W4692" s="3"/>
      <c r="X4692" s="3"/>
      <c r="Y4692" s="3"/>
      <c r="Z4692" s="3"/>
      <c r="AA4692" s="3"/>
      <c r="AB4692" s="3"/>
    </row>
    <row r="4693" spans="1:28" x14ac:dyDescent="0.3">
      <c r="A4693" s="2"/>
      <c r="F4693" s="3"/>
      <c r="G4693" s="3"/>
      <c r="N4693" s="3"/>
      <c r="Q4693" s="3"/>
      <c r="R4693" s="3"/>
      <c r="S4693" s="3"/>
      <c r="V4693" s="3"/>
      <c r="W4693" s="3"/>
      <c r="X4693" s="3"/>
      <c r="Y4693" s="3"/>
      <c r="Z4693" s="3"/>
      <c r="AA4693" s="3"/>
      <c r="AB4693" s="3"/>
    </row>
    <row r="4694" spans="1:28" x14ac:dyDescent="0.3">
      <c r="A4694" s="2"/>
      <c r="F4694" s="3"/>
      <c r="G4694" s="3"/>
      <c r="N4694" s="3"/>
      <c r="Q4694" s="3"/>
      <c r="R4694" s="3"/>
      <c r="S4694" s="3"/>
      <c r="V4694" s="3"/>
      <c r="W4694" s="3"/>
      <c r="X4694" s="3"/>
      <c r="Y4694" s="3"/>
      <c r="Z4694" s="3"/>
      <c r="AA4694" s="3"/>
      <c r="AB4694" s="3"/>
    </row>
    <row r="4695" spans="1:28" x14ac:dyDescent="0.3">
      <c r="A4695" s="2"/>
      <c r="F4695" s="3"/>
      <c r="G4695" s="3"/>
      <c r="N4695" s="3"/>
      <c r="Q4695" s="3"/>
      <c r="R4695" s="3"/>
      <c r="S4695" s="3"/>
      <c r="V4695" s="3"/>
      <c r="W4695" s="3"/>
      <c r="X4695" s="3"/>
      <c r="Y4695" s="3"/>
      <c r="Z4695" s="3"/>
      <c r="AA4695" s="3"/>
      <c r="AB4695" s="3"/>
    </row>
    <row r="4696" spans="1:28" x14ac:dyDescent="0.3">
      <c r="A4696" s="2"/>
      <c r="F4696" s="3"/>
      <c r="G4696" s="3"/>
      <c r="N4696" s="3"/>
      <c r="Q4696" s="3"/>
      <c r="R4696" s="3"/>
      <c r="S4696" s="3"/>
      <c r="V4696" s="3"/>
      <c r="W4696" s="3"/>
      <c r="X4696" s="3"/>
      <c r="Y4696" s="3"/>
      <c r="Z4696" s="3"/>
      <c r="AA4696" s="3"/>
      <c r="AB4696" s="3"/>
    </row>
    <row r="4697" spans="1:28" x14ac:dyDescent="0.3">
      <c r="A4697" s="2"/>
      <c r="F4697" s="3"/>
      <c r="G4697" s="3"/>
      <c r="N4697" s="3"/>
      <c r="Q4697" s="3"/>
      <c r="R4697" s="3"/>
      <c r="S4697" s="3"/>
      <c r="V4697" s="3"/>
      <c r="W4697" s="3"/>
      <c r="X4697" s="3"/>
      <c r="Y4697" s="3"/>
      <c r="Z4697" s="3"/>
      <c r="AA4697" s="3"/>
      <c r="AB4697" s="3"/>
    </row>
    <row r="4698" spans="1:28" x14ac:dyDescent="0.3">
      <c r="A4698" s="2"/>
      <c r="F4698" s="3"/>
      <c r="G4698" s="3"/>
      <c r="N4698" s="3"/>
      <c r="Q4698" s="3"/>
      <c r="R4698" s="3"/>
      <c r="S4698" s="3"/>
      <c r="V4698" s="3"/>
      <c r="W4698" s="3"/>
      <c r="X4698" s="3"/>
      <c r="Y4698" s="3"/>
      <c r="Z4698" s="3"/>
      <c r="AA4698" s="3"/>
      <c r="AB4698" s="3"/>
    </row>
    <row r="4699" spans="1:28" x14ac:dyDescent="0.3">
      <c r="A4699" s="2"/>
      <c r="F4699" s="3"/>
      <c r="G4699" s="3"/>
      <c r="N4699" s="3"/>
      <c r="Q4699" s="3"/>
      <c r="R4699" s="3"/>
      <c r="S4699" s="3"/>
      <c r="V4699" s="3"/>
      <c r="W4699" s="3"/>
      <c r="X4699" s="3"/>
      <c r="Y4699" s="3"/>
      <c r="Z4699" s="3"/>
      <c r="AA4699" s="3"/>
      <c r="AB4699" s="3"/>
    </row>
    <row r="4700" spans="1:28" x14ac:dyDescent="0.3">
      <c r="A4700" s="2"/>
      <c r="F4700" s="3"/>
      <c r="G4700" s="3"/>
      <c r="N4700" s="3"/>
      <c r="Q4700" s="3"/>
      <c r="R4700" s="3"/>
      <c r="S4700" s="3"/>
      <c r="V4700" s="3"/>
      <c r="W4700" s="3"/>
      <c r="X4700" s="3"/>
      <c r="Y4700" s="3"/>
      <c r="Z4700" s="3"/>
      <c r="AA4700" s="3"/>
      <c r="AB4700" s="3"/>
    </row>
    <row r="4701" spans="1:28" x14ac:dyDescent="0.3">
      <c r="A4701" s="2"/>
      <c r="F4701" s="3"/>
      <c r="G4701" s="3"/>
      <c r="N4701" s="3"/>
      <c r="Q4701" s="3"/>
      <c r="R4701" s="3"/>
      <c r="S4701" s="3"/>
      <c r="V4701" s="3"/>
      <c r="W4701" s="3"/>
      <c r="X4701" s="3"/>
      <c r="Y4701" s="3"/>
      <c r="Z4701" s="3"/>
      <c r="AA4701" s="3"/>
      <c r="AB4701" s="3"/>
    </row>
    <row r="4702" spans="1:28" x14ac:dyDescent="0.3">
      <c r="A4702" s="2"/>
      <c r="F4702" s="3"/>
      <c r="G4702" s="3"/>
      <c r="N4702" s="3"/>
      <c r="Q4702" s="3"/>
      <c r="R4702" s="3"/>
      <c r="S4702" s="3"/>
      <c r="V4702" s="3"/>
      <c r="W4702" s="3"/>
      <c r="X4702" s="3"/>
      <c r="Y4702" s="3"/>
      <c r="Z4702" s="3"/>
      <c r="AA4702" s="3"/>
      <c r="AB4702" s="3"/>
    </row>
    <row r="4703" spans="1:28" x14ac:dyDescent="0.3">
      <c r="A4703" s="2"/>
      <c r="F4703" s="3"/>
      <c r="G4703" s="3"/>
      <c r="N4703" s="3"/>
      <c r="Q4703" s="3"/>
      <c r="R4703" s="3"/>
      <c r="S4703" s="3"/>
      <c r="V4703" s="3"/>
      <c r="W4703" s="3"/>
      <c r="X4703" s="3"/>
      <c r="Y4703" s="3"/>
      <c r="Z4703" s="3"/>
      <c r="AA4703" s="3"/>
      <c r="AB4703" s="3"/>
    </row>
    <row r="4704" spans="1:28" x14ac:dyDescent="0.3">
      <c r="A4704" s="2"/>
      <c r="F4704" s="3"/>
      <c r="G4704" s="3"/>
      <c r="N4704" s="3"/>
      <c r="Q4704" s="3"/>
      <c r="R4704" s="3"/>
      <c r="S4704" s="3"/>
      <c r="V4704" s="3"/>
      <c r="W4704" s="3"/>
      <c r="X4704" s="3"/>
      <c r="Y4704" s="3"/>
      <c r="Z4704" s="3"/>
      <c r="AA4704" s="3"/>
      <c r="AB4704" s="3"/>
    </row>
    <row r="4705" spans="1:28" x14ac:dyDescent="0.3">
      <c r="A4705" s="2"/>
      <c r="F4705" s="3"/>
      <c r="G4705" s="3"/>
      <c r="N4705" s="3"/>
      <c r="Q4705" s="3"/>
      <c r="R4705" s="3"/>
      <c r="S4705" s="3"/>
      <c r="V4705" s="3"/>
      <c r="W4705" s="3"/>
      <c r="X4705" s="3"/>
      <c r="Y4705" s="3"/>
      <c r="Z4705" s="3"/>
      <c r="AA4705" s="3"/>
      <c r="AB4705" s="3"/>
    </row>
    <row r="4706" spans="1:28" x14ac:dyDescent="0.3">
      <c r="A4706" s="2"/>
      <c r="F4706" s="3"/>
      <c r="G4706" s="3"/>
      <c r="N4706" s="3"/>
      <c r="Q4706" s="3"/>
      <c r="R4706" s="3"/>
      <c r="S4706" s="3"/>
      <c r="V4706" s="3"/>
      <c r="W4706" s="3"/>
      <c r="X4706" s="3"/>
      <c r="Y4706" s="3"/>
      <c r="Z4706" s="3"/>
      <c r="AA4706" s="3"/>
      <c r="AB4706" s="3"/>
    </row>
    <row r="4707" spans="1:28" x14ac:dyDescent="0.3">
      <c r="A4707" s="2"/>
      <c r="F4707" s="3"/>
      <c r="G4707" s="3"/>
      <c r="N4707" s="3"/>
      <c r="Q4707" s="3"/>
      <c r="R4707" s="3"/>
      <c r="S4707" s="3"/>
      <c r="V4707" s="3"/>
      <c r="W4707" s="3"/>
      <c r="X4707" s="3"/>
      <c r="Y4707" s="3"/>
      <c r="Z4707" s="3"/>
      <c r="AA4707" s="3"/>
      <c r="AB4707" s="3"/>
    </row>
    <row r="4708" spans="1:28" x14ac:dyDescent="0.3">
      <c r="A4708" s="2"/>
      <c r="F4708" s="3"/>
      <c r="G4708" s="3"/>
      <c r="N4708" s="3"/>
      <c r="Q4708" s="3"/>
      <c r="R4708" s="3"/>
      <c r="S4708" s="3"/>
      <c r="V4708" s="3"/>
      <c r="W4708" s="3"/>
      <c r="X4708" s="3"/>
      <c r="Y4708" s="3"/>
      <c r="Z4708" s="3"/>
      <c r="AA4708" s="3"/>
      <c r="AB4708" s="3"/>
    </row>
    <row r="4709" spans="1:28" x14ac:dyDescent="0.3">
      <c r="A4709" s="2"/>
      <c r="F4709" s="3"/>
      <c r="G4709" s="3"/>
      <c r="N4709" s="3"/>
      <c r="Q4709" s="3"/>
      <c r="R4709" s="3"/>
      <c r="S4709" s="3"/>
      <c r="V4709" s="3"/>
      <c r="W4709" s="3"/>
      <c r="X4709" s="3"/>
      <c r="Y4709" s="3"/>
      <c r="Z4709" s="3"/>
      <c r="AA4709" s="3"/>
      <c r="AB4709" s="3"/>
    </row>
    <row r="4710" spans="1:28" x14ac:dyDescent="0.3">
      <c r="A4710" s="2"/>
      <c r="F4710" s="3"/>
      <c r="G4710" s="3"/>
      <c r="N4710" s="3"/>
      <c r="Q4710" s="3"/>
      <c r="R4710" s="3"/>
      <c r="S4710" s="3"/>
      <c r="V4710" s="3"/>
      <c r="W4710" s="3"/>
      <c r="X4710" s="3"/>
      <c r="Y4710" s="3"/>
      <c r="Z4710" s="3"/>
      <c r="AA4710" s="3"/>
      <c r="AB4710" s="3"/>
    </row>
    <row r="4711" spans="1:28" x14ac:dyDescent="0.3">
      <c r="A4711" s="2"/>
      <c r="F4711" s="3"/>
      <c r="G4711" s="3"/>
      <c r="N4711" s="3"/>
      <c r="Q4711" s="3"/>
      <c r="R4711" s="3"/>
      <c r="S4711" s="3"/>
      <c r="V4711" s="3"/>
      <c r="W4711" s="3"/>
      <c r="X4711" s="3"/>
      <c r="Y4711" s="3"/>
      <c r="Z4711" s="3"/>
      <c r="AA4711" s="3"/>
      <c r="AB4711" s="3"/>
    </row>
    <row r="4712" spans="1:28" x14ac:dyDescent="0.3">
      <c r="A4712" s="2"/>
      <c r="F4712" s="3"/>
      <c r="G4712" s="3"/>
      <c r="N4712" s="3"/>
      <c r="Q4712" s="3"/>
      <c r="R4712" s="3"/>
      <c r="S4712" s="3"/>
      <c r="V4712" s="3"/>
      <c r="W4712" s="3"/>
      <c r="X4712" s="3"/>
      <c r="Y4712" s="3"/>
      <c r="Z4712" s="3"/>
      <c r="AA4712" s="3"/>
      <c r="AB4712" s="3"/>
    </row>
    <row r="4713" spans="1:28" x14ac:dyDescent="0.3">
      <c r="A4713" s="2"/>
      <c r="F4713" s="3"/>
      <c r="G4713" s="3"/>
      <c r="N4713" s="3"/>
      <c r="Q4713" s="3"/>
      <c r="R4713" s="3"/>
      <c r="S4713" s="3"/>
      <c r="V4713" s="3"/>
      <c r="W4713" s="3"/>
      <c r="X4713" s="3"/>
      <c r="Y4713" s="3"/>
      <c r="Z4713" s="3"/>
      <c r="AA4713" s="3"/>
      <c r="AB4713" s="3"/>
    </row>
    <row r="4714" spans="1:28" x14ac:dyDescent="0.3">
      <c r="A4714" s="2"/>
      <c r="F4714" s="3"/>
      <c r="G4714" s="3"/>
      <c r="N4714" s="3"/>
      <c r="Q4714" s="3"/>
      <c r="R4714" s="3"/>
      <c r="S4714" s="3"/>
      <c r="V4714" s="3"/>
      <c r="W4714" s="3"/>
      <c r="X4714" s="3"/>
      <c r="Y4714" s="3"/>
      <c r="Z4714" s="3"/>
      <c r="AA4714" s="3"/>
      <c r="AB4714" s="3"/>
    </row>
    <row r="4715" spans="1:28" x14ac:dyDescent="0.3">
      <c r="A4715" s="2"/>
      <c r="F4715" s="3"/>
      <c r="G4715" s="3"/>
      <c r="N4715" s="3"/>
      <c r="Q4715" s="3"/>
      <c r="R4715" s="3"/>
      <c r="S4715" s="3"/>
      <c r="V4715" s="3"/>
      <c r="W4715" s="3"/>
      <c r="X4715" s="3"/>
      <c r="Y4715" s="3"/>
      <c r="Z4715" s="3"/>
      <c r="AA4715" s="3"/>
      <c r="AB4715" s="3"/>
    </row>
    <row r="4716" spans="1:28" x14ac:dyDescent="0.3">
      <c r="A4716" s="2"/>
      <c r="F4716" s="3"/>
      <c r="G4716" s="3"/>
      <c r="N4716" s="3"/>
      <c r="Q4716" s="3"/>
      <c r="R4716" s="3"/>
      <c r="S4716" s="3"/>
      <c r="V4716" s="3"/>
      <c r="W4716" s="3"/>
      <c r="X4716" s="3"/>
      <c r="Y4716" s="3"/>
      <c r="Z4716" s="3"/>
      <c r="AA4716" s="3"/>
      <c r="AB4716" s="3"/>
    </row>
    <row r="4717" spans="1:28" x14ac:dyDescent="0.3">
      <c r="A4717" s="2"/>
      <c r="F4717" s="3"/>
      <c r="G4717" s="3"/>
      <c r="N4717" s="3"/>
      <c r="Q4717" s="3"/>
      <c r="R4717" s="3"/>
      <c r="S4717" s="3"/>
      <c r="V4717" s="3"/>
      <c r="W4717" s="3"/>
      <c r="X4717" s="3"/>
      <c r="Y4717" s="3"/>
      <c r="Z4717" s="3"/>
      <c r="AA4717" s="3"/>
      <c r="AB4717" s="3"/>
    </row>
    <row r="4718" spans="1:28" x14ac:dyDescent="0.3">
      <c r="A4718" s="2"/>
      <c r="F4718" s="3"/>
      <c r="G4718" s="3"/>
      <c r="N4718" s="3"/>
      <c r="Q4718" s="3"/>
      <c r="R4718" s="3"/>
      <c r="S4718" s="3"/>
      <c r="V4718" s="3"/>
      <c r="W4718" s="3"/>
      <c r="X4718" s="3"/>
      <c r="Y4718" s="3"/>
      <c r="Z4718" s="3"/>
      <c r="AA4718" s="3"/>
      <c r="AB4718" s="3"/>
    </row>
    <row r="4719" spans="1:28" x14ac:dyDescent="0.3">
      <c r="A4719" s="2"/>
      <c r="F4719" s="3"/>
      <c r="G4719" s="3"/>
      <c r="N4719" s="3"/>
      <c r="Q4719" s="3"/>
      <c r="R4719" s="3"/>
      <c r="S4719" s="3"/>
      <c r="V4719" s="3"/>
      <c r="W4719" s="3"/>
      <c r="X4719" s="3"/>
      <c r="Y4719" s="3"/>
      <c r="Z4719" s="3"/>
      <c r="AA4719" s="3"/>
      <c r="AB4719" s="3"/>
    </row>
    <row r="4720" spans="1:28" x14ac:dyDescent="0.3">
      <c r="A4720" s="2"/>
      <c r="F4720" s="3"/>
      <c r="G4720" s="3"/>
      <c r="N4720" s="3"/>
      <c r="Q4720" s="3"/>
      <c r="R4720" s="3"/>
      <c r="S4720" s="3"/>
      <c r="V4720" s="3"/>
      <c r="W4720" s="3"/>
      <c r="X4720" s="3"/>
      <c r="Y4720" s="3"/>
      <c r="Z4720" s="3"/>
      <c r="AA4720" s="3"/>
      <c r="AB4720" s="3"/>
    </row>
    <row r="4721" spans="1:28" x14ac:dyDescent="0.3">
      <c r="A4721" s="2"/>
      <c r="F4721" s="3"/>
      <c r="G4721" s="3"/>
      <c r="N4721" s="3"/>
      <c r="Q4721" s="3"/>
      <c r="R4721" s="3"/>
      <c r="S4721" s="3"/>
      <c r="V4721" s="3"/>
      <c r="W4721" s="3"/>
      <c r="X4721" s="3"/>
      <c r="Y4721" s="3"/>
      <c r="Z4721" s="3"/>
      <c r="AA4721" s="3"/>
      <c r="AB4721" s="3"/>
    </row>
    <row r="4722" spans="1:28" x14ac:dyDescent="0.3">
      <c r="A4722" s="2"/>
      <c r="F4722" s="3"/>
      <c r="G4722" s="3"/>
      <c r="N4722" s="3"/>
      <c r="Q4722" s="3"/>
      <c r="R4722" s="3"/>
      <c r="S4722" s="3"/>
      <c r="V4722" s="3"/>
      <c r="W4722" s="3"/>
      <c r="X4722" s="3"/>
      <c r="Y4722" s="3"/>
      <c r="Z4722" s="3"/>
      <c r="AA4722" s="3"/>
      <c r="AB4722" s="3"/>
    </row>
    <row r="4723" spans="1:28" x14ac:dyDescent="0.3">
      <c r="A4723" s="2"/>
      <c r="F4723" s="3"/>
      <c r="G4723" s="3"/>
      <c r="N4723" s="3"/>
      <c r="Q4723" s="3"/>
      <c r="R4723" s="3"/>
      <c r="S4723" s="3"/>
      <c r="V4723" s="3"/>
      <c r="W4723" s="3"/>
      <c r="X4723" s="3"/>
      <c r="Y4723" s="3"/>
      <c r="Z4723" s="3"/>
      <c r="AA4723" s="3"/>
      <c r="AB4723" s="3"/>
    </row>
    <row r="4724" spans="1:28" x14ac:dyDescent="0.3">
      <c r="A4724" s="2"/>
      <c r="F4724" s="3"/>
      <c r="G4724" s="3"/>
      <c r="N4724" s="3"/>
      <c r="Q4724" s="3"/>
      <c r="R4724" s="3"/>
      <c r="S4724" s="3"/>
      <c r="V4724" s="3"/>
      <c r="W4724" s="3"/>
      <c r="X4724" s="3"/>
      <c r="Y4724" s="3"/>
      <c r="Z4724" s="3"/>
      <c r="AA4724" s="3"/>
      <c r="AB4724" s="3"/>
    </row>
    <row r="4725" spans="1:28" x14ac:dyDescent="0.3">
      <c r="A4725" s="2"/>
      <c r="F4725" s="3"/>
      <c r="G4725" s="3"/>
      <c r="N4725" s="3"/>
      <c r="Q4725" s="3"/>
      <c r="R4725" s="3"/>
      <c r="S4725" s="3"/>
      <c r="V4725" s="3"/>
      <c r="W4725" s="3"/>
      <c r="X4725" s="3"/>
      <c r="Y4725" s="3"/>
      <c r="Z4725" s="3"/>
      <c r="AA4725" s="3"/>
      <c r="AB4725" s="3"/>
    </row>
    <row r="4726" spans="1:28" x14ac:dyDescent="0.3">
      <c r="A4726" s="2"/>
      <c r="F4726" s="3"/>
      <c r="G4726" s="3"/>
      <c r="N4726" s="3"/>
      <c r="Q4726" s="3"/>
      <c r="R4726" s="3"/>
      <c r="S4726" s="3"/>
      <c r="V4726" s="3"/>
      <c r="W4726" s="3"/>
      <c r="X4726" s="3"/>
      <c r="Y4726" s="3"/>
      <c r="Z4726" s="3"/>
      <c r="AA4726" s="3"/>
      <c r="AB4726" s="3"/>
    </row>
    <row r="4727" spans="1:28" x14ac:dyDescent="0.3">
      <c r="A4727" s="2"/>
      <c r="F4727" s="3"/>
      <c r="G4727" s="3"/>
      <c r="N4727" s="3"/>
      <c r="Q4727" s="3"/>
      <c r="R4727" s="3"/>
      <c r="S4727" s="3"/>
      <c r="V4727" s="3"/>
      <c r="W4727" s="3"/>
      <c r="X4727" s="3"/>
      <c r="Y4727" s="3"/>
      <c r="Z4727" s="3"/>
      <c r="AA4727" s="3"/>
      <c r="AB4727" s="3"/>
    </row>
    <row r="4728" spans="1:28" x14ac:dyDescent="0.3">
      <c r="A4728" s="2"/>
      <c r="F4728" s="3"/>
      <c r="G4728" s="3"/>
      <c r="N4728" s="3"/>
      <c r="Q4728" s="3"/>
      <c r="R4728" s="3"/>
      <c r="S4728" s="3"/>
      <c r="V4728" s="3"/>
      <c r="W4728" s="3"/>
      <c r="X4728" s="3"/>
      <c r="Y4728" s="3"/>
      <c r="Z4728" s="3"/>
      <c r="AA4728" s="3"/>
      <c r="AB4728" s="3"/>
    </row>
    <row r="4729" spans="1:28" x14ac:dyDescent="0.3">
      <c r="A4729" s="2"/>
      <c r="F4729" s="3"/>
      <c r="G4729" s="3"/>
      <c r="N4729" s="3"/>
      <c r="Q4729" s="3"/>
      <c r="R4729" s="3"/>
      <c r="S4729" s="3"/>
      <c r="V4729" s="3"/>
      <c r="W4729" s="3"/>
      <c r="X4729" s="3"/>
      <c r="Y4729" s="3"/>
      <c r="Z4729" s="3"/>
      <c r="AA4729" s="3"/>
      <c r="AB4729" s="3"/>
    </row>
    <row r="4730" spans="1:28" x14ac:dyDescent="0.3">
      <c r="A4730" s="2"/>
      <c r="F4730" s="3"/>
      <c r="G4730" s="3"/>
      <c r="N4730" s="3"/>
      <c r="Q4730" s="3"/>
      <c r="R4730" s="3"/>
      <c r="S4730" s="3"/>
      <c r="V4730" s="3"/>
      <c r="W4730" s="3"/>
      <c r="X4730" s="3"/>
      <c r="Y4730" s="3"/>
      <c r="Z4730" s="3"/>
      <c r="AA4730" s="3"/>
      <c r="AB4730" s="3"/>
    </row>
    <row r="4731" spans="1:28" x14ac:dyDescent="0.3">
      <c r="A4731" s="2"/>
      <c r="F4731" s="3"/>
      <c r="G4731" s="3"/>
      <c r="N4731" s="3"/>
      <c r="Q4731" s="3"/>
      <c r="R4731" s="3"/>
      <c r="S4731" s="3"/>
      <c r="V4731" s="3"/>
      <c r="W4731" s="3"/>
      <c r="X4731" s="3"/>
      <c r="Y4731" s="3"/>
      <c r="Z4731" s="3"/>
      <c r="AA4731" s="3"/>
      <c r="AB4731" s="3"/>
    </row>
    <row r="4732" spans="1:28" x14ac:dyDescent="0.3">
      <c r="A4732" s="2"/>
      <c r="F4732" s="3"/>
      <c r="G4732" s="3"/>
      <c r="N4732" s="3"/>
      <c r="Q4732" s="3"/>
      <c r="R4732" s="3"/>
      <c r="S4732" s="3"/>
      <c r="V4732" s="3"/>
      <c r="W4732" s="3"/>
      <c r="X4732" s="3"/>
      <c r="Y4732" s="3"/>
      <c r="Z4732" s="3"/>
      <c r="AA4732" s="3"/>
      <c r="AB4732" s="3"/>
    </row>
    <row r="4733" spans="1:28" x14ac:dyDescent="0.3">
      <c r="A4733" s="2"/>
      <c r="F4733" s="3"/>
      <c r="G4733" s="3"/>
      <c r="N4733" s="3"/>
      <c r="Q4733" s="3"/>
      <c r="R4733" s="3"/>
      <c r="S4733" s="3"/>
      <c r="V4733" s="3"/>
      <c r="W4733" s="3"/>
      <c r="X4733" s="3"/>
      <c r="Y4733" s="3"/>
      <c r="Z4733" s="3"/>
      <c r="AA4733" s="3"/>
      <c r="AB4733" s="3"/>
    </row>
    <row r="4734" spans="1:28" x14ac:dyDescent="0.3">
      <c r="A4734" s="2"/>
      <c r="F4734" s="3"/>
      <c r="G4734" s="3"/>
      <c r="N4734" s="3"/>
      <c r="Q4734" s="3"/>
      <c r="R4734" s="3"/>
      <c r="S4734" s="3"/>
      <c r="V4734" s="3"/>
      <c r="W4734" s="3"/>
      <c r="X4734" s="3"/>
      <c r="Y4734" s="3"/>
      <c r="Z4734" s="3"/>
      <c r="AA4734" s="3"/>
      <c r="AB4734" s="3"/>
    </row>
    <row r="4735" spans="1:28" x14ac:dyDescent="0.3">
      <c r="A4735" s="2"/>
      <c r="F4735" s="3"/>
      <c r="G4735" s="3"/>
      <c r="N4735" s="3"/>
      <c r="Q4735" s="3"/>
      <c r="R4735" s="3"/>
      <c r="S4735" s="3"/>
      <c r="V4735" s="3"/>
      <c r="W4735" s="3"/>
      <c r="X4735" s="3"/>
      <c r="Y4735" s="3"/>
      <c r="Z4735" s="3"/>
      <c r="AA4735" s="3"/>
      <c r="AB4735" s="3"/>
    </row>
    <row r="4736" spans="1:28" x14ac:dyDescent="0.3">
      <c r="A4736" s="2"/>
      <c r="F4736" s="3"/>
      <c r="G4736" s="3"/>
      <c r="N4736" s="3"/>
      <c r="Q4736" s="3"/>
      <c r="R4736" s="3"/>
      <c r="S4736" s="3"/>
      <c r="V4736" s="3"/>
      <c r="W4736" s="3"/>
      <c r="X4736" s="3"/>
      <c r="Y4736" s="3"/>
      <c r="Z4736" s="3"/>
      <c r="AA4736" s="3"/>
      <c r="AB4736" s="3"/>
    </row>
    <row r="4737" spans="1:28" x14ac:dyDescent="0.3">
      <c r="A4737" s="2"/>
      <c r="F4737" s="3"/>
      <c r="G4737" s="3"/>
      <c r="N4737" s="3"/>
      <c r="Q4737" s="3"/>
      <c r="R4737" s="3"/>
      <c r="S4737" s="3"/>
      <c r="V4737" s="3"/>
      <c r="W4737" s="3"/>
      <c r="X4737" s="3"/>
      <c r="Y4737" s="3"/>
      <c r="Z4737" s="3"/>
      <c r="AA4737" s="3"/>
      <c r="AB4737" s="3"/>
    </row>
    <row r="4738" spans="1:28" x14ac:dyDescent="0.3">
      <c r="A4738" s="2"/>
      <c r="F4738" s="3"/>
      <c r="G4738" s="3"/>
      <c r="N4738" s="3"/>
      <c r="Q4738" s="3"/>
      <c r="R4738" s="3"/>
      <c r="S4738" s="3"/>
      <c r="V4738" s="3"/>
      <c r="W4738" s="3"/>
      <c r="X4738" s="3"/>
      <c r="Y4738" s="3"/>
      <c r="Z4738" s="3"/>
      <c r="AA4738" s="3"/>
      <c r="AB4738" s="3"/>
    </row>
    <row r="4739" spans="1:28" x14ac:dyDescent="0.3">
      <c r="A4739" s="2"/>
      <c r="F4739" s="3"/>
      <c r="G4739" s="3"/>
      <c r="N4739" s="3"/>
      <c r="Q4739" s="3"/>
      <c r="R4739" s="3"/>
      <c r="S4739" s="3"/>
      <c r="V4739" s="3"/>
      <c r="W4739" s="3"/>
      <c r="X4739" s="3"/>
      <c r="Y4739" s="3"/>
      <c r="Z4739" s="3"/>
      <c r="AA4739" s="3"/>
      <c r="AB4739" s="3"/>
    </row>
    <row r="4740" spans="1:28" x14ac:dyDescent="0.3">
      <c r="A4740" s="2"/>
      <c r="F4740" s="3"/>
      <c r="G4740" s="3"/>
      <c r="N4740" s="3"/>
      <c r="Q4740" s="3"/>
      <c r="R4740" s="3"/>
      <c r="S4740" s="3"/>
      <c r="V4740" s="3"/>
      <c r="W4740" s="3"/>
      <c r="X4740" s="3"/>
      <c r="Y4740" s="3"/>
      <c r="Z4740" s="3"/>
      <c r="AA4740" s="3"/>
      <c r="AB4740" s="3"/>
    </row>
    <row r="4741" spans="1:28" x14ac:dyDescent="0.3">
      <c r="A4741" s="2"/>
      <c r="F4741" s="3"/>
      <c r="G4741" s="3"/>
      <c r="N4741" s="3"/>
      <c r="Q4741" s="3"/>
      <c r="R4741" s="3"/>
      <c r="S4741" s="3"/>
      <c r="V4741" s="3"/>
      <c r="W4741" s="3"/>
      <c r="X4741" s="3"/>
      <c r="Y4741" s="3"/>
      <c r="Z4741" s="3"/>
      <c r="AA4741" s="3"/>
      <c r="AB4741" s="3"/>
    </row>
    <row r="4742" spans="1:28" x14ac:dyDescent="0.3">
      <c r="A4742" s="2"/>
      <c r="F4742" s="3"/>
      <c r="G4742" s="3"/>
      <c r="N4742" s="3"/>
      <c r="Q4742" s="3"/>
      <c r="R4742" s="3"/>
      <c r="S4742" s="3"/>
      <c r="V4742" s="3"/>
      <c r="W4742" s="3"/>
      <c r="X4742" s="3"/>
      <c r="Y4742" s="3"/>
      <c r="Z4742" s="3"/>
      <c r="AA4742" s="3"/>
      <c r="AB4742" s="3"/>
    </row>
    <row r="4743" spans="1:28" x14ac:dyDescent="0.3">
      <c r="A4743" s="2"/>
      <c r="F4743" s="3"/>
      <c r="G4743" s="3"/>
      <c r="N4743" s="3"/>
      <c r="Q4743" s="3"/>
      <c r="R4743" s="3"/>
      <c r="S4743" s="3"/>
      <c r="V4743" s="3"/>
      <c r="W4743" s="3"/>
      <c r="X4743" s="3"/>
      <c r="Y4743" s="3"/>
      <c r="Z4743" s="3"/>
      <c r="AA4743" s="3"/>
      <c r="AB4743" s="3"/>
    </row>
    <row r="4744" spans="1:28" x14ac:dyDescent="0.3">
      <c r="A4744" s="2"/>
      <c r="F4744" s="3"/>
      <c r="G4744" s="3"/>
      <c r="N4744" s="3"/>
      <c r="Q4744" s="3"/>
      <c r="R4744" s="3"/>
      <c r="S4744" s="3"/>
      <c r="V4744" s="3"/>
      <c r="W4744" s="3"/>
      <c r="X4744" s="3"/>
      <c r="Y4744" s="3"/>
      <c r="Z4744" s="3"/>
      <c r="AA4744" s="3"/>
      <c r="AB4744" s="3"/>
    </row>
    <row r="4745" spans="1:28" x14ac:dyDescent="0.3">
      <c r="A4745" s="2"/>
      <c r="F4745" s="3"/>
      <c r="G4745" s="3"/>
      <c r="N4745" s="3"/>
      <c r="Q4745" s="3"/>
      <c r="R4745" s="3"/>
      <c r="S4745" s="3"/>
      <c r="V4745" s="3"/>
      <c r="W4745" s="3"/>
      <c r="X4745" s="3"/>
      <c r="Y4745" s="3"/>
      <c r="Z4745" s="3"/>
      <c r="AA4745" s="3"/>
      <c r="AB4745" s="3"/>
    </row>
    <row r="4746" spans="1:28" x14ac:dyDescent="0.3">
      <c r="A4746" s="2"/>
      <c r="F4746" s="3"/>
      <c r="G4746" s="3"/>
      <c r="N4746" s="3"/>
      <c r="Q4746" s="3"/>
      <c r="R4746" s="3"/>
      <c r="S4746" s="3"/>
      <c r="V4746" s="3"/>
      <c r="W4746" s="3"/>
      <c r="X4746" s="3"/>
      <c r="Y4746" s="3"/>
      <c r="Z4746" s="3"/>
      <c r="AA4746" s="3"/>
      <c r="AB4746" s="3"/>
    </row>
    <row r="4747" spans="1:28" x14ac:dyDescent="0.3">
      <c r="A4747" s="2"/>
      <c r="F4747" s="3"/>
      <c r="G4747" s="3"/>
      <c r="N4747" s="3"/>
      <c r="Q4747" s="3"/>
      <c r="R4747" s="3"/>
      <c r="S4747" s="3"/>
      <c r="V4747" s="3"/>
      <c r="W4747" s="3"/>
      <c r="X4747" s="3"/>
      <c r="Y4747" s="3"/>
      <c r="Z4747" s="3"/>
      <c r="AA4747" s="3"/>
      <c r="AB4747" s="3"/>
    </row>
    <row r="4748" spans="1:28" x14ac:dyDescent="0.3">
      <c r="A4748" s="2"/>
      <c r="F4748" s="3"/>
      <c r="G4748" s="3"/>
      <c r="N4748" s="3"/>
      <c r="Q4748" s="3"/>
      <c r="R4748" s="3"/>
      <c r="S4748" s="3"/>
      <c r="V4748" s="3"/>
      <c r="W4748" s="3"/>
      <c r="X4748" s="3"/>
      <c r="Y4748" s="3"/>
      <c r="Z4748" s="3"/>
      <c r="AA4748" s="3"/>
      <c r="AB4748" s="3"/>
    </row>
    <row r="4749" spans="1:28" x14ac:dyDescent="0.3">
      <c r="A4749" s="2"/>
      <c r="F4749" s="3"/>
      <c r="G4749" s="3"/>
      <c r="N4749" s="3"/>
      <c r="Q4749" s="3"/>
      <c r="R4749" s="3"/>
      <c r="S4749" s="3"/>
      <c r="V4749" s="3"/>
      <c r="W4749" s="3"/>
      <c r="X4749" s="3"/>
      <c r="Y4749" s="3"/>
      <c r="Z4749" s="3"/>
      <c r="AA4749" s="3"/>
      <c r="AB4749" s="3"/>
    </row>
    <row r="4750" spans="1:28" x14ac:dyDescent="0.3">
      <c r="A4750" s="2"/>
      <c r="F4750" s="3"/>
      <c r="G4750" s="3"/>
      <c r="N4750" s="3"/>
      <c r="Q4750" s="3"/>
      <c r="R4750" s="3"/>
      <c r="S4750" s="3"/>
      <c r="V4750" s="3"/>
      <c r="W4750" s="3"/>
      <c r="X4750" s="3"/>
      <c r="Y4750" s="3"/>
      <c r="Z4750" s="3"/>
      <c r="AA4750" s="3"/>
      <c r="AB4750" s="3"/>
    </row>
    <row r="4751" spans="1:28" x14ac:dyDescent="0.3">
      <c r="A4751" s="2"/>
      <c r="F4751" s="3"/>
      <c r="G4751" s="3"/>
      <c r="N4751" s="3"/>
      <c r="Q4751" s="3"/>
      <c r="R4751" s="3"/>
      <c r="S4751" s="3"/>
      <c r="V4751" s="3"/>
      <c r="W4751" s="3"/>
      <c r="X4751" s="3"/>
      <c r="Y4751" s="3"/>
      <c r="Z4751" s="3"/>
      <c r="AA4751" s="3"/>
      <c r="AB4751" s="3"/>
    </row>
    <row r="4752" spans="1:28" x14ac:dyDescent="0.3">
      <c r="A4752" s="2"/>
      <c r="F4752" s="3"/>
      <c r="G4752" s="3"/>
      <c r="N4752" s="3"/>
      <c r="Q4752" s="3"/>
      <c r="R4752" s="3"/>
      <c r="S4752" s="3"/>
      <c r="V4752" s="3"/>
      <c r="W4752" s="3"/>
      <c r="X4752" s="3"/>
      <c r="Y4752" s="3"/>
      <c r="Z4752" s="3"/>
      <c r="AA4752" s="3"/>
      <c r="AB4752" s="3"/>
    </row>
    <row r="4753" spans="1:28" x14ac:dyDescent="0.3">
      <c r="A4753" s="2"/>
      <c r="F4753" s="3"/>
      <c r="G4753" s="3"/>
      <c r="N4753" s="3"/>
      <c r="Q4753" s="3"/>
      <c r="R4753" s="3"/>
      <c r="S4753" s="3"/>
      <c r="V4753" s="3"/>
      <c r="W4753" s="3"/>
      <c r="X4753" s="3"/>
      <c r="Y4753" s="3"/>
      <c r="Z4753" s="3"/>
      <c r="AA4753" s="3"/>
      <c r="AB4753" s="3"/>
    </row>
    <row r="4754" spans="1:28" x14ac:dyDescent="0.3">
      <c r="A4754" s="2"/>
      <c r="F4754" s="3"/>
      <c r="G4754" s="3"/>
      <c r="N4754" s="3"/>
      <c r="Q4754" s="3"/>
      <c r="R4754" s="3"/>
      <c r="S4754" s="3"/>
      <c r="V4754" s="3"/>
      <c r="W4754" s="3"/>
      <c r="X4754" s="3"/>
      <c r="Y4754" s="3"/>
      <c r="Z4754" s="3"/>
      <c r="AA4754" s="3"/>
      <c r="AB4754" s="3"/>
    </row>
    <row r="4755" spans="1:28" x14ac:dyDescent="0.3">
      <c r="A4755" s="2"/>
      <c r="F4755" s="3"/>
      <c r="G4755" s="3"/>
      <c r="N4755" s="3"/>
      <c r="Q4755" s="3"/>
      <c r="R4755" s="3"/>
      <c r="S4755" s="3"/>
      <c r="V4755" s="3"/>
      <c r="W4755" s="3"/>
      <c r="X4755" s="3"/>
      <c r="Y4755" s="3"/>
      <c r="Z4755" s="3"/>
      <c r="AA4755" s="3"/>
      <c r="AB4755" s="3"/>
    </row>
    <row r="4756" spans="1:28" x14ac:dyDescent="0.3">
      <c r="A4756" s="2"/>
      <c r="F4756" s="3"/>
      <c r="G4756" s="3"/>
      <c r="N4756" s="3"/>
      <c r="Q4756" s="3"/>
      <c r="R4756" s="3"/>
      <c r="S4756" s="3"/>
      <c r="V4756" s="3"/>
      <c r="W4756" s="3"/>
      <c r="X4756" s="3"/>
      <c r="Y4756" s="3"/>
      <c r="Z4756" s="3"/>
      <c r="AA4756" s="3"/>
      <c r="AB4756" s="3"/>
    </row>
    <row r="4757" spans="1:28" x14ac:dyDescent="0.3">
      <c r="A4757" s="2"/>
      <c r="F4757" s="3"/>
      <c r="G4757" s="3"/>
      <c r="N4757" s="3"/>
      <c r="Q4757" s="3"/>
      <c r="R4757" s="3"/>
      <c r="S4757" s="3"/>
      <c r="V4757" s="3"/>
      <c r="W4757" s="3"/>
      <c r="X4757" s="3"/>
      <c r="Y4757" s="3"/>
      <c r="Z4757" s="3"/>
      <c r="AA4757" s="3"/>
      <c r="AB4757" s="3"/>
    </row>
    <row r="4758" spans="1:28" x14ac:dyDescent="0.3">
      <c r="A4758" s="2"/>
      <c r="F4758" s="3"/>
      <c r="G4758" s="3"/>
      <c r="N4758" s="3"/>
      <c r="Q4758" s="3"/>
      <c r="R4758" s="3"/>
      <c r="S4758" s="3"/>
      <c r="V4758" s="3"/>
      <c r="W4758" s="3"/>
      <c r="X4758" s="3"/>
      <c r="Y4758" s="3"/>
      <c r="Z4758" s="3"/>
      <c r="AA4758" s="3"/>
      <c r="AB4758" s="3"/>
    </row>
    <row r="4759" spans="1:28" x14ac:dyDescent="0.3">
      <c r="A4759" s="2"/>
      <c r="F4759" s="3"/>
      <c r="G4759" s="3"/>
      <c r="N4759" s="3"/>
      <c r="Q4759" s="3"/>
      <c r="R4759" s="3"/>
      <c r="S4759" s="3"/>
      <c r="V4759" s="3"/>
      <c r="W4759" s="3"/>
      <c r="X4759" s="3"/>
      <c r="Y4759" s="3"/>
      <c r="Z4759" s="3"/>
      <c r="AA4759" s="3"/>
      <c r="AB4759" s="3"/>
    </row>
    <row r="4760" spans="1:28" x14ac:dyDescent="0.3">
      <c r="A4760" s="2"/>
      <c r="F4760" s="3"/>
      <c r="G4760" s="3"/>
      <c r="N4760" s="3"/>
      <c r="Q4760" s="3"/>
      <c r="R4760" s="3"/>
      <c r="S4760" s="3"/>
      <c r="V4760" s="3"/>
      <c r="W4760" s="3"/>
      <c r="X4760" s="3"/>
      <c r="Y4760" s="3"/>
      <c r="Z4760" s="3"/>
      <c r="AA4760" s="3"/>
      <c r="AB4760" s="3"/>
    </row>
    <row r="4761" spans="1:28" x14ac:dyDescent="0.3">
      <c r="A4761" s="2"/>
      <c r="F4761" s="3"/>
      <c r="G4761" s="3"/>
      <c r="N4761" s="3"/>
      <c r="Q4761" s="3"/>
      <c r="R4761" s="3"/>
      <c r="S4761" s="3"/>
      <c r="V4761" s="3"/>
      <c r="W4761" s="3"/>
      <c r="X4761" s="3"/>
      <c r="Y4761" s="3"/>
      <c r="Z4761" s="3"/>
      <c r="AA4761" s="3"/>
      <c r="AB4761" s="3"/>
    </row>
    <row r="4762" spans="1:28" x14ac:dyDescent="0.3">
      <c r="A4762" s="2"/>
      <c r="F4762" s="3"/>
      <c r="G4762" s="3"/>
      <c r="N4762" s="3"/>
      <c r="Q4762" s="3"/>
      <c r="R4762" s="3"/>
      <c r="S4762" s="3"/>
      <c r="V4762" s="3"/>
      <c r="W4762" s="3"/>
      <c r="X4762" s="3"/>
      <c r="Y4762" s="3"/>
      <c r="Z4762" s="3"/>
      <c r="AA4762" s="3"/>
      <c r="AB4762" s="3"/>
    </row>
    <row r="4763" spans="1:28" x14ac:dyDescent="0.3">
      <c r="A4763" s="2"/>
      <c r="F4763" s="3"/>
      <c r="G4763" s="3"/>
      <c r="N4763" s="3"/>
      <c r="Q4763" s="3"/>
      <c r="R4763" s="3"/>
      <c r="S4763" s="3"/>
      <c r="V4763" s="3"/>
      <c r="W4763" s="3"/>
      <c r="X4763" s="3"/>
      <c r="Y4763" s="3"/>
      <c r="Z4763" s="3"/>
      <c r="AA4763" s="3"/>
      <c r="AB4763" s="3"/>
    </row>
    <row r="4764" spans="1:28" x14ac:dyDescent="0.3">
      <c r="A4764" s="2"/>
      <c r="F4764" s="3"/>
      <c r="G4764" s="3"/>
      <c r="N4764" s="3"/>
      <c r="Q4764" s="3"/>
      <c r="R4764" s="3"/>
      <c r="S4764" s="3"/>
      <c r="V4764" s="3"/>
      <c r="W4764" s="3"/>
      <c r="X4764" s="3"/>
      <c r="Y4764" s="3"/>
      <c r="Z4764" s="3"/>
      <c r="AA4764" s="3"/>
      <c r="AB4764" s="3"/>
    </row>
    <row r="4765" spans="1:28" x14ac:dyDescent="0.3">
      <c r="A4765" s="2"/>
      <c r="F4765" s="3"/>
      <c r="G4765" s="3"/>
      <c r="N4765" s="3"/>
      <c r="Q4765" s="3"/>
      <c r="R4765" s="3"/>
      <c r="S4765" s="3"/>
      <c r="V4765" s="3"/>
      <c r="W4765" s="3"/>
      <c r="X4765" s="3"/>
      <c r="Y4765" s="3"/>
      <c r="Z4765" s="3"/>
      <c r="AA4765" s="3"/>
      <c r="AB4765" s="3"/>
    </row>
    <row r="4766" spans="1:28" x14ac:dyDescent="0.3">
      <c r="A4766" s="2"/>
      <c r="F4766" s="3"/>
      <c r="G4766" s="3"/>
      <c r="N4766" s="3"/>
      <c r="Q4766" s="3"/>
      <c r="R4766" s="3"/>
      <c r="S4766" s="3"/>
      <c r="V4766" s="3"/>
      <c r="W4766" s="3"/>
      <c r="X4766" s="3"/>
      <c r="Y4766" s="3"/>
      <c r="Z4766" s="3"/>
      <c r="AA4766" s="3"/>
      <c r="AB4766" s="3"/>
    </row>
    <row r="4767" spans="1:28" x14ac:dyDescent="0.3">
      <c r="A4767" s="2"/>
      <c r="F4767" s="3"/>
      <c r="G4767" s="3"/>
      <c r="N4767" s="3"/>
      <c r="Q4767" s="3"/>
      <c r="R4767" s="3"/>
      <c r="S4767" s="3"/>
      <c r="V4767" s="3"/>
      <c r="W4767" s="3"/>
      <c r="X4767" s="3"/>
      <c r="Y4767" s="3"/>
      <c r="Z4767" s="3"/>
      <c r="AA4767" s="3"/>
      <c r="AB4767" s="3"/>
    </row>
    <row r="4768" spans="1:28" x14ac:dyDescent="0.3">
      <c r="A4768" s="2"/>
      <c r="F4768" s="3"/>
      <c r="G4768" s="3"/>
      <c r="N4768" s="3"/>
      <c r="Q4768" s="3"/>
      <c r="R4768" s="3"/>
      <c r="S4768" s="3"/>
      <c r="V4768" s="3"/>
      <c r="W4768" s="3"/>
      <c r="X4768" s="3"/>
      <c r="Y4768" s="3"/>
      <c r="Z4768" s="3"/>
      <c r="AA4768" s="3"/>
      <c r="AB4768" s="3"/>
    </row>
    <row r="4769" spans="1:28" x14ac:dyDescent="0.3">
      <c r="A4769" s="2"/>
      <c r="F4769" s="3"/>
      <c r="G4769" s="3"/>
      <c r="N4769" s="3"/>
      <c r="Q4769" s="3"/>
      <c r="R4769" s="3"/>
      <c r="S4769" s="3"/>
      <c r="V4769" s="3"/>
      <c r="W4769" s="3"/>
      <c r="X4769" s="3"/>
      <c r="Y4769" s="3"/>
      <c r="Z4769" s="3"/>
      <c r="AA4769" s="3"/>
      <c r="AB4769" s="3"/>
    </row>
    <row r="4770" spans="1:28" x14ac:dyDescent="0.3">
      <c r="A4770" s="2"/>
      <c r="F4770" s="3"/>
      <c r="G4770" s="3"/>
      <c r="N4770" s="3"/>
      <c r="Q4770" s="3"/>
      <c r="R4770" s="3"/>
      <c r="S4770" s="3"/>
      <c r="V4770" s="3"/>
      <c r="W4770" s="3"/>
      <c r="X4770" s="3"/>
      <c r="Y4770" s="3"/>
      <c r="Z4770" s="3"/>
      <c r="AA4770" s="3"/>
      <c r="AB4770" s="3"/>
    </row>
    <row r="4771" spans="1:28" x14ac:dyDescent="0.3">
      <c r="A4771" s="2"/>
      <c r="F4771" s="3"/>
      <c r="G4771" s="3"/>
      <c r="N4771" s="3"/>
      <c r="Q4771" s="3"/>
      <c r="R4771" s="3"/>
      <c r="S4771" s="3"/>
      <c r="V4771" s="3"/>
      <c r="W4771" s="3"/>
      <c r="X4771" s="3"/>
      <c r="Y4771" s="3"/>
      <c r="Z4771" s="3"/>
      <c r="AA4771" s="3"/>
      <c r="AB4771" s="3"/>
    </row>
    <row r="4772" spans="1:28" x14ac:dyDescent="0.3">
      <c r="A4772" s="2"/>
      <c r="F4772" s="3"/>
      <c r="G4772" s="3"/>
      <c r="N4772" s="3"/>
      <c r="Q4772" s="3"/>
      <c r="R4772" s="3"/>
      <c r="S4772" s="3"/>
      <c r="V4772" s="3"/>
      <c r="W4772" s="3"/>
      <c r="X4772" s="3"/>
      <c r="Y4772" s="3"/>
      <c r="Z4772" s="3"/>
      <c r="AA4772" s="3"/>
      <c r="AB4772" s="3"/>
    </row>
    <row r="4773" spans="1:28" x14ac:dyDescent="0.3">
      <c r="A4773" s="2"/>
      <c r="F4773" s="3"/>
      <c r="G4773" s="3"/>
      <c r="N4773" s="3"/>
      <c r="Q4773" s="3"/>
      <c r="R4773" s="3"/>
      <c r="S4773" s="3"/>
      <c r="V4773" s="3"/>
      <c r="W4773" s="3"/>
      <c r="X4773" s="3"/>
      <c r="Y4773" s="3"/>
      <c r="Z4773" s="3"/>
      <c r="AA4773" s="3"/>
      <c r="AB4773" s="3"/>
    </row>
    <row r="4774" spans="1:28" x14ac:dyDescent="0.3">
      <c r="A4774" s="2"/>
      <c r="F4774" s="3"/>
      <c r="G4774" s="3"/>
      <c r="N4774" s="3"/>
      <c r="Q4774" s="3"/>
      <c r="R4774" s="3"/>
      <c r="S4774" s="3"/>
      <c r="V4774" s="3"/>
      <c r="W4774" s="3"/>
      <c r="X4774" s="3"/>
      <c r="Y4774" s="3"/>
      <c r="Z4774" s="3"/>
      <c r="AA4774" s="3"/>
      <c r="AB4774" s="3"/>
    </row>
    <row r="4775" spans="1:28" x14ac:dyDescent="0.3">
      <c r="A4775" s="2"/>
      <c r="F4775" s="3"/>
      <c r="G4775" s="3"/>
      <c r="N4775" s="3"/>
      <c r="Q4775" s="3"/>
      <c r="R4775" s="3"/>
      <c r="S4775" s="3"/>
      <c r="V4775" s="3"/>
      <c r="W4775" s="3"/>
      <c r="X4775" s="3"/>
      <c r="Y4775" s="3"/>
      <c r="Z4775" s="3"/>
      <c r="AA4775" s="3"/>
      <c r="AB4775" s="3"/>
    </row>
    <row r="4776" spans="1:28" x14ac:dyDescent="0.3">
      <c r="A4776" s="2"/>
      <c r="F4776" s="3"/>
      <c r="G4776" s="3"/>
      <c r="N4776" s="3"/>
      <c r="Q4776" s="3"/>
      <c r="R4776" s="3"/>
      <c r="S4776" s="3"/>
      <c r="V4776" s="3"/>
      <c r="W4776" s="3"/>
      <c r="X4776" s="3"/>
      <c r="Y4776" s="3"/>
      <c r="Z4776" s="3"/>
      <c r="AA4776" s="3"/>
      <c r="AB4776" s="3"/>
    </row>
    <row r="4777" spans="1:28" x14ac:dyDescent="0.3">
      <c r="A4777" s="2"/>
      <c r="F4777" s="3"/>
      <c r="G4777" s="3"/>
      <c r="N4777" s="3"/>
      <c r="Q4777" s="3"/>
      <c r="R4777" s="3"/>
      <c r="S4777" s="3"/>
      <c r="V4777" s="3"/>
      <c r="W4777" s="3"/>
      <c r="X4777" s="3"/>
      <c r="Y4777" s="3"/>
      <c r="Z4777" s="3"/>
      <c r="AA4777" s="3"/>
      <c r="AB4777" s="3"/>
    </row>
    <row r="4778" spans="1:28" x14ac:dyDescent="0.3">
      <c r="A4778" s="2"/>
      <c r="F4778" s="3"/>
      <c r="G4778" s="3"/>
      <c r="N4778" s="3"/>
      <c r="Q4778" s="3"/>
      <c r="R4778" s="3"/>
      <c r="S4778" s="3"/>
      <c r="V4778" s="3"/>
      <c r="W4778" s="3"/>
      <c r="X4778" s="3"/>
      <c r="Y4778" s="3"/>
      <c r="Z4778" s="3"/>
      <c r="AA4778" s="3"/>
      <c r="AB4778" s="3"/>
    </row>
    <row r="4779" spans="1:28" x14ac:dyDescent="0.3">
      <c r="A4779" s="2"/>
      <c r="F4779" s="3"/>
      <c r="G4779" s="3"/>
      <c r="N4779" s="3"/>
      <c r="Q4779" s="3"/>
      <c r="R4779" s="3"/>
      <c r="S4779" s="3"/>
      <c r="V4779" s="3"/>
      <c r="W4779" s="3"/>
      <c r="X4779" s="3"/>
      <c r="Y4779" s="3"/>
      <c r="Z4779" s="3"/>
      <c r="AA4779" s="3"/>
      <c r="AB4779" s="3"/>
    </row>
    <row r="4780" spans="1:28" x14ac:dyDescent="0.3">
      <c r="A4780" s="2"/>
      <c r="F4780" s="3"/>
      <c r="G4780" s="3"/>
      <c r="N4780" s="3"/>
      <c r="Q4780" s="3"/>
      <c r="R4780" s="3"/>
      <c r="S4780" s="3"/>
      <c r="V4780" s="3"/>
      <c r="W4780" s="3"/>
      <c r="X4780" s="3"/>
      <c r="Y4780" s="3"/>
      <c r="Z4780" s="3"/>
      <c r="AA4780" s="3"/>
      <c r="AB4780" s="3"/>
    </row>
    <row r="4781" spans="1:28" x14ac:dyDescent="0.3">
      <c r="A4781" s="2"/>
      <c r="F4781" s="3"/>
      <c r="G4781" s="3"/>
      <c r="N4781" s="3"/>
      <c r="Q4781" s="3"/>
      <c r="R4781" s="3"/>
      <c r="S4781" s="3"/>
      <c r="V4781" s="3"/>
      <c r="W4781" s="3"/>
      <c r="X4781" s="3"/>
      <c r="Y4781" s="3"/>
      <c r="Z4781" s="3"/>
      <c r="AA4781" s="3"/>
      <c r="AB4781" s="3"/>
    </row>
    <row r="4782" spans="1:28" x14ac:dyDescent="0.3">
      <c r="A4782" s="2"/>
      <c r="F4782" s="3"/>
      <c r="G4782" s="3"/>
      <c r="N4782" s="3"/>
      <c r="Q4782" s="3"/>
      <c r="R4782" s="3"/>
      <c r="S4782" s="3"/>
      <c r="V4782" s="3"/>
      <c r="W4782" s="3"/>
      <c r="X4782" s="3"/>
      <c r="Y4782" s="3"/>
      <c r="Z4782" s="3"/>
      <c r="AA4782" s="3"/>
      <c r="AB4782" s="3"/>
    </row>
    <row r="4783" spans="1:28" x14ac:dyDescent="0.3">
      <c r="A4783" s="2"/>
      <c r="F4783" s="3"/>
      <c r="G4783" s="3"/>
      <c r="N4783" s="3"/>
      <c r="Q4783" s="3"/>
      <c r="R4783" s="3"/>
      <c r="S4783" s="3"/>
      <c r="V4783" s="3"/>
      <c r="W4783" s="3"/>
      <c r="X4783" s="3"/>
      <c r="Y4783" s="3"/>
      <c r="Z4783" s="3"/>
      <c r="AA4783" s="3"/>
      <c r="AB4783" s="3"/>
    </row>
    <row r="4784" spans="1:28" x14ac:dyDescent="0.3">
      <c r="A4784" s="2"/>
      <c r="F4784" s="3"/>
      <c r="G4784" s="3"/>
      <c r="N4784" s="3"/>
      <c r="Q4784" s="3"/>
      <c r="R4784" s="3"/>
      <c r="S4784" s="3"/>
      <c r="V4784" s="3"/>
      <c r="W4784" s="3"/>
      <c r="X4784" s="3"/>
      <c r="Y4784" s="3"/>
      <c r="Z4784" s="3"/>
      <c r="AA4784" s="3"/>
      <c r="AB4784" s="3"/>
    </row>
    <row r="4785" spans="1:28" x14ac:dyDescent="0.3">
      <c r="A4785" s="2"/>
      <c r="F4785" s="3"/>
      <c r="G4785" s="3"/>
      <c r="N4785" s="3"/>
      <c r="Q4785" s="3"/>
      <c r="R4785" s="3"/>
      <c r="S4785" s="3"/>
      <c r="V4785" s="3"/>
      <c r="W4785" s="3"/>
      <c r="X4785" s="3"/>
      <c r="Y4785" s="3"/>
      <c r="Z4785" s="3"/>
      <c r="AA4785" s="3"/>
      <c r="AB4785" s="3"/>
    </row>
    <row r="4786" spans="1:28" x14ac:dyDescent="0.3">
      <c r="A4786" s="2"/>
      <c r="F4786" s="3"/>
      <c r="G4786" s="3"/>
      <c r="N4786" s="3"/>
      <c r="Q4786" s="3"/>
      <c r="R4786" s="3"/>
      <c r="S4786" s="3"/>
      <c r="V4786" s="3"/>
      <c r="W4786" s="3"/>
      <c r="X4786" s="3"/>
      <c r="Y4786" s="3"/>
      <c r="Z4786" s="3"/>
      <c r="AA4786" s="3"/>
      <c r="AB4786" s="3"/>
    </row>
    <row r="4787" spans="1:28" x14ac:dyDescent="0.3">
      <c r="A4787" s="2"/>
      <c r="F4787" s="3"/>
      <c r="G4787" s="3"/>
      <c r="N4787" s="3"/>
      <c r="Q4787" s="3"/>
      <c r="R4787" s="3"/>
      <c r="S4787" s="3"/>
      <c r="V4787" s="3"/>
      <c r="W4787" s="3"/>
      <c r="X4787" s="3"/>
      <c r="Y4787" s="3"/>
      <c r="Z4787" s="3"/>
      <c r="AA4787" s="3"/>
      <c r="AB4787" s="3"/>
    </row>
    <row r="4788" spans="1:28" x14ac:dyDescent="0.3">
      <c r="A4788" s="2"/>
      <c r="F4788" s="3"/>
      <c r="G4788" s="3"/>
      <c r="N4788" s="3"/>
      <c r="Q4788" s="3"/>
      <c r="R4788" s="3"/>
      <c r="S4788" s="3"/>
      <c r="V4788" s="3"/>
      <c r="W4788" s="3"/>
      <c r="X4788" s="3"/>
      <c r="Y4788" s="3"/>
      <c r="Z4788" s="3"/>
      <c r="AA4788" s="3"/>
      <c r="AB4788" s="3"/>
    </row>
    <row r="4789" spans="1:28" x14ac:dyDescent="0.3">
      <c r="A4789" s="2"/>
      <c r="F4789" s="3"/>
      <c r="G4789" s="3"/>
      <c r="N4789" s="3"/>
      <c r="Q4789" s="3"/>
      <c r="R4789" s="3"/>
      <c r="S4789" s="3"/>
      <c r="V4789" s="3"/>
      <c r="W4789" s="3"/>
      <c r="X4789" s="3"/>
      <c r="Y4789" s="3"/>
      <c r="Z4789" s="3"/>
      <c r="AA4789" s="3"/>
      <c r="AB4789" s="3"/>
    </row>
    <row r="4790" spans="1:28" x14ac:dyDescent="0.3">
      <c r="A4790" s="2"/>
      <c r="F4790" s="3"/>
      <c r="G4790" s="3"/>
      <c r="N4790" s="3"/>
      <c r="Q4790" s="3"/>
      <c r="R4790" s="3"/>
      <c r="S4790" s="3"/>
      <c r="V4790" s="3"/>
      <c r="W4790" s="3"/>
      <c r="X4790" s="3"/>
      <c r="Y4790" s="3"/>
      <c r="Z4790" s="3"/>
      <c r="AA4790" s="3"/>
      <c r="AB4790" s="3"/>
    </row>
    <row r="4791" spans="1:28" x14ac:dyDescent="0.3">
      <c r="A4791" s="2"/>
      <c r="F4791" s="3"/>
      <c r="G4791" s="3"/>
      <c r="N4791" s="3"/>
      <c r="Q4791" s="3"/>
      <c r="R4791" s="3"/>
      <c r="S4791" s="3"/>
      <c r="V4791" s="3"/>
      <c r="W4791" s="3"/>
      <c r="X4791" s="3"/>
      <c r="Y4791" s="3"/>
      <c r="Z4791" s="3"/>
      <c r="AA4791" s="3"/>
      <c r="AB4791" s="3"/>
    </row>
    <row r="4792" spans="1:28" x14ac:dyDescent="0.3">
      <c r="A4792" s="2"/>
      <c r="F4792" s="3"/>
      <c r="G4792" s="3"/>
      <c r="N4792" s="3"/>
      <c r="Q4792" s="3"/>
      <c r="R4792" s="3"/>
      <c r="S4792" s="3"/>
      <c r="V4792" s="3"/>
      <c r="W4792" s="3"/>
      <c r="X4792" s="3"/>
      <c r="Y4792" s="3"/>
      <c r="Z4792" s="3"/>
      <c r="AA4792" s="3"/>
      <c r="AB4792" s="3"/>
    </row>
    <row r="4793" spans="1:28" x14ac:dyDescent="0.3">
      <c r="A4793" s="2"/>
      <c r="F4793" s="3"/>
      <c r="G4793" s="3"/>
      <c r="N4793" s="3"/>
      <c r="Q4793" s="3"/>
      <c r="R4793" s="3"/>
      <c r="S4793" s="3"/>
      <c r="V4793" s="3"/>
      <c r="W4793" s="3"/>
      <c r="X4793" s="3"/>
      <c r="Y4793" s="3"/>
      <c r="Z4793" s="3"/>
      <c r="AA4793" s="3"/>
      <c r="AB4793" s="3"/>
    </row>
    <row r="4794" spans="1:28" x14ac:dyDescent="0.3">
      <c r="A4794" s="2"/>
      <c r="F4794" s="3"/>
      <c r="G4794" s="3"/>
      <c r="N4794" s="3"/>
      <c r="Q4794" s="3"/>
      <c r="R4794" s="3"/>
      <c r="S4794" s="3"/>
      <c r="V4794" s="3"/>
      <c r="W4794" s="3"/>
      <c r="X4794" s="3"/>
      <c r="Y4794" s="3"/>
      <c r="Z4794" s="3"/>
      <c r="AA4794" s="3"/>
      <c r="AB4794" s="3"/>
    </row>
    <row r="4795" spans="1:28" x14ac:dyDescent="0.3">
      <c r="A4795" s="2"/>
      <c r="F4795" s="3"/>
      <c r="G4795" s="3"/>
      <c r="N4795" s="3"/>
      <c r="Q4795" s="3"/>
      <c r="R4795" s="3"/>
      <c r="S4795" s="3"/>
      <c r="V4795" s="3"/>
      <c r="W4795" s="3"/>
      <c r="X4795" s="3"/>
      <c r="Y4795" s="3"/>
      <c r="Z4795" s="3"/>
      <c r="AA4795" s="3"/>
      <c r="AB4795" s="3"/>
    </row>
    <row r="4796" spans="1:28" x14ac:dyDescent="0.3">
      <c r="A4796" s="2"/>
      <c r="F4796" s="3"/>
      <c r="G4796" s="3"/>
      <c r="N4796" s="3"/>
      <c r="Q4796" s="3"/>
      <c r="R4796" s="3"/>
      <c r="S4796" s="3"/>
      <c r="V4796" s="3"/>
      <c r="W4796" s="3"/>
      <c r="X4796" s="3"/>
      <c r="Y4796" s="3"/>
      <c r="Z4796" s="3"/>
      <c r="AA4796" s="3"/>
      <c r="AB4796" s="3"/>
    </row>
    <row r="4797" spans="1:28" x14ac:dyDescent="0.3">
      <c r="A4797" s="2"/>
      <c r="F4797" s="3"/>
      <c r="G4797" s="3"/>
      <c r="N4797" s="3"/>
      <c r="Q4797" s="3"/>
      <c r="R4797" s="3"/>
      <c r="S4797" s="3"/>
      <c r="V4797" s="3"/>
      <c r="W4797" s="3"/>
      <c r="X4797" s="3"/>
      <c r="Y4797" s="3"/>
      <c r="Z4797" s="3"/>
      <c r="AA4797" s="3"/>
      <c r="AB4797" s="3"/>
    </row>
    <row r="4798" spans="1:28" x14ac:dyDescent="0.3">
      <c r="A4798" s="2"/>
      <c r="F4798" s="3"/>
      <c r="G4798" s="3"/>
      <c r="N4798" s="3"/>
      <c r="Q4798" s="3"/>
      <c r="R4798" s="3"/>
      <c r="S4798" s="3"/>
      <c r="V4798" s="3"/>
      <c r="W4798" s="3"/>
      <c r="X4798" s="3"/>
      <c r="Y4798" s="3"/>
      <c r="Z4798" s="3"/>
      <c r="AA4798" s="3"/>
      <c r="AB4798" s="3"/>
    </row>
    <row r="4799" spans="1:28" x14ac:dyDescent="0.3">
      <c r="A4799" s="2"/>
      <c r="F4799" s="3"/>
      <c r="G4799" s="3"/>
      <c r="N4799" s="3"/>
      <c r="Q4799" s="3"/>
      <c r="R4799" s="3"/>
      <c r="S4799" s="3"/>
      <c r="V4799" s="3"/>
      <c r="W4799" s="3"/>
      <c r="X4799" s="3"/>
      <c r="Y4799" s="3"/>
      <c r="Z4799" s="3"/>
      <c r="AA4799" s="3"/>
      <c r="AB4799" s="3"/>
    </row>
    <row r="4800" spans="1:28" x14ac:dyDescent="0.3">
      <c r="A4800" s="2"/>
      <c r="F4800" s="3"/>
      <c r="G4800" s="3"/>
      <c r="N4800" s="3"/>
      <c r="Q4800" s="3"/>
      <c r="R4800" s="3"/>
      <c r="S4800" s="3"/>
      <c r="V4800" s="3"/>
      <c r="W4800" s="3"/>
      <c r="X4800" s="3"/>
      <c r="Y4800" s="3"/>
      <c r="Z4800" s="3"/>
      <c r="AA4800" s="3"/>
      <c r="AB4800" s="3"/>
    </row>
    <row r="4801" spans="1:28" x14ac:dyDescent="0.3">
      <c r="A4801" s="2"/>
      <c r="F4801" s="3"/>
      <c r="G4801" s="3"/>
      <c r="N4801" s="3"/>
      <c r="Q4801" s="3"/>
      <c r="R4801" s="3"/>
      <c r="S4801" s="3"/>
      <c r="V4801" s="3"/>
      <c r="W4801" s="3"/>
      <c r="X4801" s="3"/>
      <c r="Y4801" s="3"/>
      <c r="Z4801" s="3"/>
      <c r="AA4801" s="3"/>
      <c r="AB4801" s="3"/>
    </row>
    <row r="4802" spans="1:28" x14ac:dyDescent="0.3">
      <c r="A4802" s="2"/>
      <c r="F4802" s="3"/>
      <c r="G4802" s="3"/>
      <c r="N4802" s="3"/>
      <c r="Q4802" s="3"/>
      <c r="R4802" s="3"/>
      <c r="S4802" s="3"/>
      <c r="V4802" s="3"/>
      <c r="W4802" s="3"/>
      <c r="X4802" s="3"/>
      <c r="Y4802" s="3"/>
      <c r="Z4802" s="3"/>
      <c r="AA4802" s="3"/>
      <c r="AB4802" s="3"/>
    </row>
    <row r="4803" spans="1:28" x14ac:dyDescent="0.3">
      <c r="A4803" s="2"/>
      <c r="F4803" s="3"/>
      <c r="G4803" s="3"/>
      <c r="N4803" s="3"/>
      <c r="Q4803" s="3"/>
      <c r="R4803" s="3"/>
      <c r="S4803" s="3"/>
      <c r="V4803" s="3"/>
      <c r="W4803" s="3"/>
      <c r="X4803" s="3"/>
      <c r="Y4803" s="3"/>
      <c r="Z4803" s="3"/>
      <c r="AA4803" s="3"/>
      <c r="AB4803" s="3"/>
    </row>
    <row r="4804" spans="1:28" x14ac:dyDescent="0.3">
      <c r="A4804" s="2"/>
      <c r="F4804" s="3"/>
      <c r="G4804" s="3"/>
      <c r="N4804" s="3"/>
      <c r="Q4804" s="3"/>
      <c r="R4804" s="3"/>
      <c r="S4804" s="3"/>
      <c r="V4804" s="3"/>
      <c r="W4804" s="3"/>
      <c r="X4804" s="3"/>
      <c r="Y4804" s="3"/>
      <c r="Z4804" s="3"/>
      <c r="AA4804" s="3"/>
      <c r="AB4804" s="3"/>
    </row>
    <row r="4805" spans="1:28" x14ac:dyDescent="0.3">
      <c r="A4805" s="2"/>
      <c r="F4805" s="3"/>
      <c r="G4805" s="3"/>
      <c r="N4805" s="3"/>
      <c r="Q4805" s="3"/>
      <c r="R4805" s="3"/>
      <c r="S4805" s="3"/>
      <c r="V4805" s="3"/>
      <c r="W4805" s="3"/>
      <c r="X4805" s="3"/>
      <c r="Y4805" s="3"/>
      <c r="Z4805" s="3"/>
      <c r="AA4805" s="3"/>
      <c r="AB4805" s="3"/>
    </row>
    <row r="4806" spans="1:28" x14ac:dyDescent="0.3">
      <c r="A4806" s="2"/>
      <c r="F4806" s="3"/>
      <c r="G4806" s="3"/>
      <c r="N4806" s="3"/>
      <c r="Q4806" s="3"/>
      <c r="R4806" s="3"/>
      <c r="S4806" s="3"/>
      <c r="V4806" s="3"/>
      <c r="W4806" s="3"/>
      <c r="X4806" s="3"/>
      <c r="Y4806" s="3"/>
      <c r="Z4806" s="3"/>
      <c r="AA4806" s="3"/>
      <c r="AB4806" s="3"/>
    </row>
    <row r="4807" spans="1:28" x14ac:dyDescent="0.3">
      <c r="A4807" s="2"/>
      <c r="F4807" s="3"/>
      <c r="G4807" s="3"/>
      <c r="N4807" s="3"/>
      <c r="Q4807" s="3"/>
      <c r="R4807" s="3"/>
      <c r="S4807" s="3"/>
      <c r="V4807" s="3"/>
      <c r="W4807" s="3"/>
      <c r="X4807" s="3"/>
      <c r="Y4807" s="3"/>
      <c r="Z4807" s="3"/>
      <c r="AA4807" s="3"/>
      <c r="AB4807" s="3"/>
    </row>
    <row r="4808" spans="1:28" x14ac:dyDescent="0.3">
      <c r="A4808" s="2"/>
      <c r="F4808" s="3"/>
      <c r="G4808" s="3"/>
      <c r="N4808" s="3"/>
      <c r="Q4808" s="3"/>
      <c r="R4808" s="3"/>
      <c r="S4808" s="3"/>
      <c r="V4808" s="3"/>
      <c r="W4808" s="3"/>
      <c r="X4808" s="3"/>
      <c r="Y4808" s="3"/>
      <c r="Z4808" s="3"/>
      <c r="AA4808" s="3"/>
      <c r="AB4808" s="3"/>
    </row>
    <row r="4809" spans="1:28" x14ac:dyDescent="0.3">
      <c r="A4809" s="2"/>
      <c r="F4809" s="3"/>
      <c r="G4809" s="3"/>
      <c r="N4809" s="3"/>
      <c r="Q4809" s="3"/>
      <c r="R4809" s="3"/>
      <c r="S4809" s="3"/>
      <c r="V4809" s="3"/>
      <c r="W4809" s="3"/>
      <c r="X4809" s="3"/>
      <c r="Y4809" s="3"/>
      <c r="Z4809" s="3"/>
      <c r="AA4809" s="3"/>
      <c r="AB4809" s="3"/>
    </row>
    <row r="4810" spans="1:28" x14ac:dyDescent="0.3">
      <c r="A4810" s="2"/>
      <c r="F4810" s="3"/>
      <c r="G4810" s="3"/>
      <c r="N4810" s="3"/>
      <c r="Q4810" s="3"/>
      <c r="R4810" s="3"/>
      <c r="S4810" s="3"/>
      <c r="V4810" s="3"/>
      <c r="W4810" s="3"/>
      <c r="X4810" s="3"/>
      <c r="Y4810" s="3"/>
      <c r="Z4810" s="3"/>
      <c r="AA4810" s="3"/>
      <c r="AB4810" s="3"/>
    </row>
    <row r="4811" spans="1:28" x14ac:dyDescent="0.3">
      <c r="A4811" s="2"/>
      <c r="F4811" s="3"/>
      <c r="G4811" s="3"/>
      <c r="N4811" s="3"/>
      <c r="Q4811" s="3"/>
      <c r="R4811" s="3"/>
      <c r="S4811" s="3"/>
      <c r="V4811" s="3"/>
      <c r="W4811" s="3"/>
      <c r="X4811" s="3"/>
      <c r="Y4811" s="3"/>
      <c r="Z4811" s="3"/>
      <c r="AA4811" s="3"/>
      <c r="AB4811" s="3"/>
    </row>
    <row r="4812" spans="1:28" x14ac:dyDescent="0.3">
      <c r="A4812" s="2"/>
      <c r="F4812" s="3"/>
      <c r="G4812" s="3"/>
      <c r="N4812" s="3"/>
      <c r="Q4812" s="3"/>
      <c r="R4812" s="3"/>
      <c r="S4812" s="3"/>
      <c r="V4812" s="3"/>
      <c r="W4812" s="3"/>
      <c r="X4812" s="3"/>
      <c r="Y4812" s="3"/>
      <c r="Z4812" s="3"/>
      <c r="AA4812" s="3"/>
      <c r="AB4812" s="3"/>
    </row>
    <row r="4813" spans="1:28" x14ac:dyDescent="0.3">
      <c r="A4813" s="2"/>
      <c r="F4813" s="3"/>
      <c r="G4813" s="3"/>
      <c r="N4813" s="3"/>
      <c r="Q4813" s="3"/>
      <c r="R4813" s="3"/>
      <c r="S4813" s="3"/>
      <c r="V4813" s="3"/>
      <c r="W4813" s="3"/>
      <c r="X4813" s="3"/>
      <c r="Y4813" s="3"/>
      <c r="Z4813" s="3"/>
      <c r="AA4813" s="3"/>
      <c r="AB4813" s="3"/>
    </row>
    <row r="4814" spans="1:28" x14ac:dyDescent="0.3">
      <c r="A4814" s="2"/>
      <c r="F4814" s="3"/>
      <c r="G4814" s="3"/>
      <c r="N4814" s="3"/>
      <c r="Q4814" s="3"/>
      <c r="R4814" s="3"/>
      <c r="S4814" s="3"/>
      <c r="V4814" s="3"/>
      <c r="W4814" s="3"/>
      <c r="X4814" s="3"/>
      <c r="Y4814" s="3"/>
      <c r="Z4814" s="3"/>
      <c r="AA4814" s="3"/>
      <c r="AB4814" s="3"/>
    </row>
    <row r="4815" spans="1:28" x14ac:dyDescent="0.3">
      <c r="A4815" s="2"/>
      <c r="F4815" s="3"/>
      <c r="G4815" s="3"/>
      <c r="N4815" s="3"/>
      <c r="Q4815" s="3"/>
      <c r="R4815" s="3"/>
      <c r="S4815" s="3"/>
      <c r="V4815" s="3"/>
      <c r="W4815" s="3"/>
      <c r="X4815" s="3"/>
      <c r="Y4815" s="3"/>
      <c r="Z4815" s="3"/>
      <c r="AA4815" s="3"/>
      <c r="AB4815" s="3"/>
    </row>
    <row r="4816" spans="1:28" x14ac:dyDescent="0.3">
      <c r="A4816" s="2"/>
      <c r="F4816" s="3"/>
      <c r="G4816" s="3"/>
      <c r="N4816" s="3"/>
      <c r="Q4816" s="3"/>
      <c r="R4816" s="3"/>
      <c r="S4816" s="3"/>
      <c r="V4816" s="3"/>
      <c r="W4816" s="3"/>
      <c r="X4816" s="3"/>
      <c r="Y4816" s="3"/>
      <c r="Z4816" s="3"/>
      <c r="AA4816" s="3"/>
      <c r="AB4816" s="3"/>
    </row>
    <row r="4817" spans="1:28" x14ac:dyDescent="0.3">
      <c r="A4817" s="2"/>
      <c r="F4817" s="3"/>
      <c r="G4817" s="3"/>
      <c r="N4817" s="3"/>
      <c r="Q4817" s="3"/>
      <c r="R4817" s="3"/>
      <c r="S4817" s="3"/>
      <c r="V4817" s="3"/>
      <c r="W4817" s="3"/>
      <c r="X4817" s="3"/>
      <c r="Y4817" s="3"/>
      <c r="Z4817" s="3"/>
      <c r="AA4817" s="3"/>
      <c r="AB4817" s="3"/>
    </row>
    <row r="4818" spans="1:28" x14ac:dyDescent="0.3">
      <c r="A4818" s="2"/>
      <c r="F4818" s="3"/>
      <c r="G4818" s="3"/>
      <c r="N4818" s="3"/>
      <c r="Q4818" s="3"/>
      <c r="R4818" s="3"/>
      <c r="S4818" s="3"/>
      <c r="V4818" s="3"/>
      <c r="W4818" s="3"/>
      <c r="X4818" s="3"/>
      <c r="Y4818" s="3"/>
      <c r="Z4818" s="3"/>
      <c r="AA4818" s="3"/>
      <c r="AB4818" s="3"/>
    </row>
    <row r="4819" spans="1:28" x14ac:dyDescent="0.3">
      <c r="A4819" s="2"/>
      <c r="F4819" s="3"/>
      <c r="G4819" s="3"/>
      <c r="N4819" s="3"/>
      <c r="Q4819" s="3"/>
      <c r="R4819" s="3"/>
      <c r="S4819" s="3"/>
      <c r="V4819" s="3"/>
      <c r="W4819" s="3"/>
      <c r="X4819" s="3"/>
      <c r="Y4819" s="3"/>
      <c r="Z4819" s="3"/>
      <c r="AA4819" s="3"/>
      <c r="AB4819" s="3"/>
    </row>
    <row r="4820" spans="1:28" x14ac:dyDescent="0.3">
      <c r="A4820" s="2"/>
      <c r="F4820" s="3"/>
      <c r="G4820" s="3"/>
      <c r="N4820" s="3"/>
      <c r="Q4820" s="3"/>
      <c r="R4820" s="3"/>
      <c r="S4820" s="3"/>
      <c r="V4820" s="3"/>
      <c r="W4820" s="3"/>
      <c r="X4820" s="3"/>
      <c r="Y4820" s="3"/>
      <c r="Z4820" s="3"/>
      <c r="AA4820" s="3"/>
      <c r="AB4820" s="3"/>
    </row>
    <row r="4821" spans="1:28" x14ac:dyDescent="0.3">
      <c r="A4821" s="2"/>
      <c r="F4821" s="3"/>
      <c r="G4821" s="3"/>
      <c r="N4821" s="3"/>
      <c r="Q4821" s="3"/>
      <c r="R4821" s="3"/>
      <c r="S4821" s="3"/>
      <c r="V4821" s="3"/>
      <c r="W4821" s="3"/>
      <c r="X4821" s="3"/>
      <c r="Y4821" s="3"/>
      <c r="Z4821" s="3"/>
      <c r="AA4821" s="3"/>
      <c r="AB4821" s="3"/>
    </row>
    <row r="4822" spans="1:28" x14ac:dyDescent="0.3">
      <c r="A4822" s="2"/>
      <c r="F4822" s="3"/>
      <c r="G4822" s="3"/>
      <c r="N4822" s="3"/>
      <c r="Q4822" s="3"/>
      <c r="R4822" s="3"/>
      <c r="S4822" s="3"/>
      <c r="V4822" s="3"/>
      <c r="W4822" s="3"/>
      <c r="X4822" s="3"/>
      <c r="Y4822" s="3"/>
      <c r="Z4822" s="3"/>
      <c r="AA4822" s="3"/>
      <c r="AB4822" s="3"/>
    </row>
    <row r="4823" spans="1:28" x14ac:dyDescent="0.3">
      <c r="A4823" s="2"/>
      <c r="F4823" s="3"/>
      <c r="G4823" s="3"/>
      <c r="N4823" s="3"/>
      <c r="Q4823" s="3"/>
      <c r="R4823" s="3"/>
      <c r="S4823" s="3"/>
      <c r="V4823" s="3"/>
      <c r="W4823" s="3"/>
      <c r="X4823" s="3"/>
      <c r="Y4823" s="3"/>
      <c r="Z4823" s="3"/>
      <c r="AA4823" s="3"/>
      <c r="AB4823" s="3"/>
    </row>
    <row r="4824" spans="1:28" x14ac:dyDescent="0.3">
      <c r="A4824" s="2"/>
      <c r="F4824" s="3"/>
      <c r="G4824" s="3"/>
      <c r="N4824" s="3"/>
      <c r="Q4824" s="3"/>
      <c r="R4824" s="3"/>
      <c r="S4824" s="3"/>
      <c r="V4824" s="3"/>
      <c r="W4824" s="3"/>
      <c r="X4824" s="3"/>
      <c r="Y4824" s="3"/>
      <c r="Z4824" s="3"/>
      <c r="AA4824" s="3"/>
      <c r="AB4824" s="3"/>
    </row>
    <row r="4825" spans="1:28" x14ac:dyDescent="0.3">
      <c r="A4825" s="2"/>
      <c r="F4825" s="3"/>
      <c r="G4825" s="3"/>
      <c r="N4825" s="3"/>
      <c r="Q4825" s="3"/>
      <c r="R4825" s="3"/>
      <c r="S4825" s="3"/>
      <c r="V4825" s="3"/>
      <c r="W4825" s="3"/>
      <c r="X4825" s="3"/>
      <c r="Y4825" s="3"/>
      <c r="Z4825" s="3"/>
      <c r="AA4825" s="3"/>
      <c r="AB4825" s="3"/>
    </row>
    <row r="4826" spans="1:28" x14ac:dyDescent="0.3">
      <c r="A4826" s="2"/>
      <c r="F4826" s="3"/>
      <c r="G4826" s="3"/>
      <c r="N4826" s="3"/>
      <c r="Q4826" s="3"/>
      <c r="R4826" s="3"/>
      <c r="S4826" s="3"/>
      <c r="V4826" s="3"/>
      <c r="W4826" s="3"/>
      <c r="X4826" s="3"/>
      <c r="Y4826" s="3"/>
      <c r="Z4826" s="3"/>
      <c r="AA4826" s="3"/>
      <c r="AB4826" s="3"/>
    </row>
    <row r="4827" spans="1:28" x14ac:dyDescent="0.3">
      <c r="A4827" s="2"/>
      <c r="F4827" s="3"/>
      <c r="G4827" s="3"/>
      <c r="N4827" s="3"/>
      <c r="Q4827" s="3"/>
      <c r="R4827" s="3"/>
      <c r="S4827" s="3"/>
      <c r="V4827" s="3"/>
      <c r="W4827" s="3"/>
      <c r="X4827" s="3"/>
      <c r="Y4827" s="3"/>
      <c r="Z4827" s="3"/>
      <c r="AA4827" s="3"/>
      <c r="AB4827" s="3"/>
    </row>
    <row r="4828" spans="1:28" x14ac:dyDescent="0.3">
      <c r="A4828" s="2"/>
      <c r="F4828" s="3"/>
      <c r="G4828" s="3"/>
      <c r="N4828" s="3"/>
      <c r="Q4828" s="3"/>
      <c r="R4828" s="3"/>
      <c r="S4828" s="3"/>
      <c r="V4828" s="3"/>
      <c r="W4828" s="3"/>
      <c r="X4828" s="3"/>
      <c r="Y4828" s="3"/>
      <c r="Z4828" s="3"/>
      <c r="AA4828" s="3"/>
      <c r="AB4828" s="3"/>
    </row>
    <row r="4829" spans="1:28" x14ac:dyDescent="0.3">
      <c r="A4829" s="2"/>
      <c r="F4829" s="3"/>
      <c r="G4829" s="3"/>
      <c r="N4829" s="3"/>
      <c r="Q4829" s="3"/>
      <c r="R4829" s="3"/>
      <c r="S4829" s="3"/>
      <c r="V4829" s="3"/>
      <c r="W4829" s="3"/>
      <c r="X4829" s="3"/>
      <c r="Y4829" s="3"/>
      <c r="Z4829" s="3"/>
      <c r="AA4829" s="3"/>
      <c r="AB4829" s="3"/>
    </row>
    <row r="4830" spans="1:28" x14ac:dyDescent="0.3">
      <c r="A4830" s="2"/>
      <c r="F4830" s="3"/>
      <c r="G4830" s="3"/>
      <c r="N4830" s="3"/>
      <c r="Q4830" s="3"/>
      <c r="R4830" s="3"/>
      <c r="S4830" s="3"/>
      <c r="V4830" s="3"/>
      <c r="W4830" s="3"/>
      <c r="X4830" s="3"/>
      <c r="Y4830" s="3"/>
      <c r="Z4830" s="3"/>
      <c r="AA4830" s="3"/>
      <c r="AB4830" s="3"/>
    </row>
    <row r="4831" spans="1:28" x14ac:dyDescent="0.3">
      <c r="A4831" s="2"/>
      <c r="F4831" s="3"/>
      <c r="G4831" s="3"/>
      <c r="N4831" s="3"/>
      <c r="Q4831" s="3"/>
      <c r="R4831" s="3"/>
      <c r="S4831" s="3"/>
      <c r="V4831" s="3"/>
      <c r="W4831" s="3"/>
      <c r="X4831" s="3"/>
      <c r="Y4831" s="3"/>
      <c r="Z4831" s="3"/>
      <c r="AA4831" s="3"/>
      <c r="AB4831" s="3"/>
    </row>
    <row r="4832" spans="1:28" x14ac:dyDescent="0.3">
      <c r="A4832" s="2"/>
      <c r="F4832" s="3"/>
      <c r="G4832" s="3"/>
      <c r="N4832" s="3"/>
      <c r="Q4832" s="3"/>
      <c r="R4832" s="3"/>
      <c r="S4832" s="3"/>
      <c r="V4832" s="3"/>
      <c r="W4832" s="3"/>
      <c r="X4832" s="3"/>
      <c r="Y4832" s="3"/>
      <c r="Z4832" s="3"/>
      <c r="AA4832" s="3"/>
      <c r="AB4832" s="3"/>
    </row>
    <row r="4833" spans="1:28" x14ac:dyDescent="0.3">
      <c r="A4833" s="2"/>
      <c r="F4833" s="3"/>
      <c r="G4833" s="3"/>
      <c r="N4833" s="3"/>
      <c r="Q4833" s="3"/>
      <c r="R4833" s="3"/>
      <c r="S4833" s="3"/>
      <c r="V4833" s="3"/>
      <c r="W4833" s="3"/>
      <c r="X4833" s="3"/>
      <c r="Y4833" s="3"/>
      <c r="Z4833" s="3"/>
      <c r="AA4833" s="3"/>
      <c r="AB4833" s="3"/>
    </row>
    <row r="4834" spans="1:28" x14ac:dyDescent="0.3">
      <c r="A4834" s="2"/>
      <c r="F4834" s="3"/>
      <c r="G4834" s="3"/>
      <c r="N4834" s="3"/>
      <c r="Q4834" s="3"/>
      <c r="R4834" s="3"/>
      <c r="S4834" s="3"/>
      <c r="V4834" s="3"/>
      <c r="W4834" s="3"/>
      <c r="X4834" s="3"/>
      <c r="Y4834" s="3"/>
      <c r="Z4834" s="3"/>
      <c r="AA4834" s="3"/>
      <c r="AB4834" s="3"/>
    </row>
    <row r="4835" spans="1:28" x14ac:dyDescent="0.3">
      <c r="A4835" s="2"/>
      <c r="F4835" s="3"/>
      <c r="G4835" s="3"/>
      <c r="N4835" s="3"/>
      <c r="Q4835" s="3"/>
      <c r="R4835" s="3"/>
      <c r="S4835" s="3"/>
      <c r="V4835" s="3"/>
      <c r="W4835" s="3"/>
      <c r="X4835" s="3"/>
      <c r="Y4835" s="3"/>
      <c r="Z4835" s="3"/>
      <c r="AA4835" s="3"/>
      <c r="AB4835" s="3"/>
    </row>
    <row r="4836" spans="1:28" x14ac:dyDescent="0.3">
      <c r="A4836" s="2"/>
      <c r="F4836" s="3"/>
      <c r="G4836" s="3"/>
      <c r="N4836" s="3"/>
      <c r="Q4836" s="3"/>
      <c r="R4836" s="3"/>
      <c r="S4836" s="3"/>
      <c r="V4836" s="3"/>
      <c r="W4836" s="3"/>
      <c r="X4836" s="3"/>
      <c r="Y4836" s="3"/>
      <c r="Z4836" s="3"/>
      <c r="AA4836" s="3"/>
      <c r="AB4836" s="3"/>
    </row>
    <row r="4837" spans="1:28" x14ac:dyDescent="0.3">
      <c r="A4837" s="2"/>
      <c r="F4837" s="3"/>
      <c r="G4837" s="3"/>
      <c r="N4837" s="3"/>
      <c r="Q4837" s="3"/>
      <c r="R4837" s="3"/>
      <c r="S4837" s="3"/>
      <c r="V4837" s="3"/>
      <c r="W4837" s="3"/>
      <c r="X4837" s="3"/>
      <c r="Y4837" s="3"/>
      <c r="Z4837" s="3"/>
      <c r="AA4837" s="3"/>
      <c r="AB4837" s="3"/>
    </row>
    <row r="4838" spans="1:28" x14ac:dyDescent="0.3">
      <c r="A4838" s="2"/>
      <c r="F4838" s="3"/>
      <c r="G4838" s="3"/>
      <c r="N4838" s="3"/>
      <c r="Q4838" s="3"/>
      <c r="R4838" s="3"/>
      <c r="S4838" s="3"/>
      <c r="V4838" s="3"/>
      <c r="W4838" s="3"/>
      <c r="X4838" s="3"/>
      <c r="Y4838" s="3"/>
      <c r="Z4838" s="3"/>
      <c r="AA4838" s="3"/>
      <c r="AB4838" s="3"/>
    </row>
    <row r="4839" spans="1:28" x14ac:dyDescent="0.3">
      <c r="A4839" s="2"/>
      <c r="F4839" s="3"/>
      <c r="G4839" s="3"/>
      <c r="N4839" s="3"/>
      <c r="Q4839" s="3"/>
      <c r="R4839" s="3"/>
      <c r="S4839" s="3"/>
      <c r="V4839" s="3"/>
      <c r="W4839" s="3"/>
      <c r="X4839" s="3"/>
      <c r="Y4839" s="3"/>
      <c r="Z4839" s="3"/>
      <c r="AA4839" s="3"/>
      <c r="AB4839" s="3"/>
    </row>
    <row r="4840" spans="1:28" x14ac:dyDescent="0.3">
      <c r="A4840" s="2"/>
      <c r="F4840" s="3"/>
      <c r="G4840" s="3"/>
      <c r="N4840" s="3"/>
      <c r="Q4840" s="3"/>
      <c r="R4840" s="3"/>
      <c r="S4840" s="3"/>
      <c r="V4840" s="3"/>
      <c r="W4840" s="3"/>
      <c r="X4840" s="3"/>
      <c r="Y4840" s="3"/>
      <c r="Z4840" s="3"/>
      <c r="AA4840" s="3"/>
      <c r="AB4840" s="3"/>
    </row>
    <row r="4841" spans="1:28" x14ac:dyDescent="0.3">
      <c r="A4841" s="2"/>
      <c r="F4841" s="3"/>
      <c r="G4841" s="3"/>
      <c r="N4841" s="3"/>
      <c r="Q4841" s="3"/>
      <c r="R4841" s="3"/>
      <c r="S4841" s="3"/>
      <c r="V4841" s="3"/>
      <c r="W4841" s="3"/>
      <c r="X4841" s="3"/>
      <c r="Y4841" s="3"/>
      <c r="Z4841" s="3"/>
      <c r="AA4841" s="3"/>
      <c r="AB4841" s="3"/>
    </row>
    <row r="4842" spans="1:28" x14ac:dyDescent="0.3">
      <c r="A4842" s="2"/>
      <c r="F4842" s="3"/>
      <c r="G4842" s="3"/>
      <c r="N4842" s="3"/>
      <c r="Q4842" s="3"/>
      <c r="R4842" s="3"/>
      <c r="S4842" s="3"/>
      <c r="V4842" s="3"/>
      <c r="W4842" s="3"/>
      <c r="X4842" s="3"/>
      <c r="Y4842" s="3"/>
      <c r="Z4842" s="3"/>
      <c r="AA4842" s="3"/>
      <c r="AB4842" s="3"/>
    </row>
    <row r="4843" spans="1:28" x14ac:dyDescent="0.3">
      <c r="A4843" s="2"/>
      <c r="F4843" s="3"/>
      <c r="G4843" s="3"/>
      <c r="N4843" s="3"/>
      <c r="Q4843" s="3"/>
      <c r="R4843" s="3"/>
      <c r="S4843" s="3"/>
      <c r="V4843" s="3"/>
      <c r="W4843" s="3"/>
      <c r="X4843" s="3"/>
      <c r="Y4843" s="3"/>
      <c r="Z4843" s="3"/>
      <c r="AA4843" s="3"/>
      <c r="AB4843" s="3"/>
    </row>
    <row r="4844" spans="1:28" x14ac:dyDescent="0.3">
      <c r="A4844" s="2"/>
      <c r="F4844" s="3"/>
      <c r="G4844" s="3"/>
      <c r="N4844" s="3"/>
      <c r="Q4844" s="3"/>
      <c r="R4844" s="3"/>
      <c r="S4844" s="3"/>
      <c r="V4844" s="3"/>
      <c r="W4844" s="3"/>
      <c r="X4844" s="3"/>
      <c r="Y4844" s="3"/>
      <c r="Z4844" s="3"/>
      <c r="AA4844" s="3"/>
      <c r="AB4844" s="3"/>
    </row>
    <row r="4845" spans="1:28" x14ac:dyDescent="0.3">
      <c r="A4845" s="2"/>
      <c r="F4845" s="3"/>
      <c r="G4845" s="3"/>
      <c r="N4845" s="3"/>
      <c r="Q4845" s="3"/>
      <c r="R4845" s="3"/>
      <c r="S4845" s="3"/>
      <c r="V4845" s="3"/>
      <c r="W4845" s="3"/>
      <c r="X4845" s="3"/>
      <c r="Y4845" s="3"/>
      <c r="Z4845" s="3"/>
      <c r="AA4845" s="3"/>
      <c r="AB4845" s="3"/>
    </row>
    <row r="4846" spans="1:28" x14ac:dyDescent="0.3">
      <c r="A4846" s="2"/>
      <c r="F4846" s="3"/>
      <c r="G4846" s="3"/>
      <c r="N4846" s="3"/>
      <c r="Q4846" s="3"/>
      <c r="R4846" s="3"/>
      <c r="S4846" s="3"/>
      <c r="V4846" s="3"/>
      <c r="W4846" s="3"/>
      <c r="X4846" s="3"/>
      <c r="Y4846" s="3"/>
      <c r="Z4846" s="3"/>
      <c r="AA4846" s="3"/>
      <c r="AB4846" s="3"/>
    </row>
    <row r="4847" spans="1:28" x14ac:dyDescent="0.3">
      <c r="A4847" s="2"/>
      <c r="F4847" s="3"/>
      <c r="G4847" s="3"/>
      <c r="N4847" s="3"/>
      <c r="Q4847" s="3"/>
      <c r="R4847" s="3"/>
      <c r="S4847" s="3"/>
      <c r="V4847" s="3"/>
      <c r="W4847" s="3"/>
      <c r="X4847" s="3"/>
      <c r="Y4847" s="3"/>
      <c r="Z4847" s="3"/>
      <c r="AA4847" s="3"/>
      <c r="AB4847" s="3"/>
    </row>
    <row r="4848" spans="1:28" x14ac:dyDescent="0.3">
      <c r="A4848" s="2"/>
      <c r="F4848" s="3"/>
      <c r="G4848" s="3"/>
      <c r="N4848" s="3"/>
      <c r="Q4848" s="3"/>
      <c r="R4848" s="3"/>
      <c r="S4848" s="3"/>
      <c r="V4848" s="3"/>
      <c r="W4848" s="3"/>
      <c r="X4848" s="3"/>
      <c r="Y4848" s="3"/>
      <c r="Z4848" s="3"/>
      <c r="AA4848" s="3"/>
      <c r="AB4848" s="3"/>
    </row>
    <row r="4849" spans="1:28" x14ac:dyDescent="0.3">
      <c r="A4849" s="2"/>
      <c r="F4849" s="3"/>
      <c r="G4849" s="3"/>
      <c r="N4849" s="3"/>
      <c r="Q4849" s="3"/>
      <c r="R4849" s="3"/>
      <c r="S4849" s="3"/>
      <c r="V4849" s="3"/>
      <c r="W4849" s="3"/>
      <c r="X4849" s="3"/>
      <c r="Y4849" s="3"/>
      <c r="Z4849" s="3"/>
      <c r="AA4849" s="3"/>
      <c r="AB4849" s="3"/>
    </row>
    <row r="4850" spans="1:28" x14ac:dyDescent="0.3">
      <c r="A4850" s="2"/>
      <c r="F4850" s="3"/>
      <c r="G4850" s="3"/>
      <c r="N4850" s="3"/>
      <c r="Q4850" s="3"/>
      <c r="R4850" s="3"/>
      <c r="S4850" s="3"/>
      <c r="V4850" s="3"/>
      <c r="W4850" s="3"/>
      <c r="X4850" s="3"/>
      <c r="Y4850" s="3"/>
      <c r="Z4850" s="3"/>
      <c r="AA4850" s="3"/>
      <c r="AB4850" s="3"/>
    </row>
    <row r="4851" spans="1:28" x14ac:dyDescent="0.3">
      <c r="A4851" s="2"/>
      <c r="F4851" s="3"/>
      <c r="G4851" s="3"/>
      <c r="N4851" s="3"/>
      <c r="Q4851" s="3"/>
      <c r="R4851" s="3"/>
      <c r="S4851" s="3"/>
      <c r="V4851" s="3"/>
      <c r="W4851" s="3"/>
      <c r="X4851" s="3"/>
      <c r="Y4851" s="3"/>
      <c r="Z4851" s="3"/>
      <c r="AA4851" s="3"/>
      <c r="AB4851" s="3"/>
    </row>
    <row r="4852" spans="1:28" x14ac:dyDescent="0.3">
      <c r="A4852" s="2"/>
      <c r="F4852" s="3"/>
      <c r="G4852" s="3"/>
      <c r="N4852" s="3"/>
      <c r="Q4852" s="3"/>
      <c r="R4852" s="3"/>
      <c r="S4852" s="3"/>
      <c r="V4852" s="3"/>
      <c r="W4852" s="3"/>
      <c r="X4852" s="3"/>
      <c r="Y4852" s="3"/>
      <c r="Z4852" s="3"/>
      <c r="AA4852" s="3"/>
      <c r="AB4852" s="3"/>
    </row>
    <row r="4853" spans="1:28" x14ac:dyDescent="0.3">
      <c r="A4853" s="2"/>
      <c r="F4853" s="3"/>
      <c r="G4853" s="3"/>
      <c r="N4853" s="3"/>
      <c r="Q4853" s="3"/>
      <c r="R4853" s="3"/>
      <c r="S4853" s="3"/>
      <c r="V4853" s="3"/>
      <c r="W4853" s="3"/>
      <c r="X4853" s="3"/>
      <c r="Y4853" s="3"/>
      <c r="Z4853" s="3"/>
      <c r="AA4853" s="3"/>
      <c r="AB4853" s="3"/>
    </row>
    <row r="4854" spans="1:28" x14ac:dyDescent="0.3">
      <c r="A4854" s="2"/>
      <c r="F4854" s="3"/>
      <c r="G4854" s="3"/>
      <c r="N4854" s="3"/>
      <c r="Q4854" s="3"/>
      <c r="R4854" s="3"/>
      <c r="S4854" s="3"/>
      <c r="V4854" s="3"/>
      <c r="W4854" s="3"/>
      <c r="X4854" s="3"/>
      <c r="Y4854" s="3"/>
      <c r="Z4854" s="3"/>
      <c r="AA4854" s="3"/>
      <c r="AB4854" s="3"/>
    </row>
    <row r="4855" spans="1:28" x14ac:dyDescent="0.3">
      <c r="A4855" s="2"/>
      <c r="F4855" s="3"/>
      <c r="G4855" s="3"/>
      <c r="N4855" s="3"/>
      <c r="Q4855" s="3"/>
      <c r="R4855" s="3"/>
      <c r="S4855" s="3"/>
      <c r="V4855" s="3"/>
      <c r="W4855" s="3"/>
      <c r="X4855" s="3"/>
      <c r="Y4855" s="3"/>
      <c r="Z4855" s="3"/>
      <c r="AA4855" s="3"/>
      <c r="AB4855" s="3"/>
    </row>
    <row r="4856" spans="1:28" x14ac:dyDescent="0.3">
      <c r="A4856" s="2"/>
      <c r="F4856" s="3"/>
      <c r="G4856" s="3"/>
      <c r="N4856" s="3"/>
      <c r="Q4856" s="3"/>
      <c r="R4856" s="3"/>
      <c r="S4856" s="3"/>
      <c r="V4856" s="3"/>
      <c r="W4856" s="3"/>
      <c r="X4856" s="3"/>
      <c r="Y4856" s="3"/>
      <c r="Z4856" s="3"/>
      <c r="AA4856" s="3"/>
      <c r="AB4856" s="3"/>
    </row>
    <row r="4857" spans="1:28" x14ac:dyDescent="0.3">
      <c r="A4857" s="2"/>
      <c r="F4857" s="3"/>
      <c r="G4857" s="3"/>
      <c r="N4857" s="3"/>
      <c r="Q4857" s="3"/>
      <c r="R4857" s="3"/>
      <c r="S4857" s="3"/>
      <c r="V4857" s="3"/>
      <c r="W4857" s="3"/>
      <c r="X4857" s="3"/>
      <c r="Y4857" s="3"/>
      <c r="Z4857" s="3"/>
      <c r="AA4857" s="3"/>
      <c r="AB4857" s="3"/>
    </row>
    <row r="4858" spans="1:28" x14ac:dyDescent="0.3">
      <c r="A4858" s="2"/>
      <c r="F4858" s="3"/>
      <c r="G4858" s="3"/>
      <c r="N4858" s="3"/>
      <c r="Q4858" s="3"/>
      <c r="R4858" s="3"/>
      <c r="S4858" s="3"/>
      <c r="V4858" s="3"/>
      <c r="W4858" s="3"/>
      <c r="X4858" s="3"/>
      <c r="Y4858" s="3"/>
      <c r="Z4858" s="3"/>
      <c r="AA4858" s="3"/>
      <c r="AB4858" s="3"/>
    </row>
    <row r="4859" spans="1:28" x14ac:dyDescent="0.3">
      <c r="A4859" s="2"/>
      <c r="F4859" s="3"/>
      <c r="G4859" s="3"/>
      <c r="N4859" s="3"/>
      <c r="Q4859" s="3"/>
      <c r="R4859" s="3"/>
      <c r="S4859" s="3"/>
      <c r="V4859" s="3"/>
      <c r="W4859" s="3"/>
      <c r="X4859" s="3"/>
      <c r="Y4859" s="3"/>
      <c r="Z4859" s="3"/>
      <c r="AA4859" s="3"/>
      <c r="AB4859" s="3"/>
    </row>
    <row r="4860" spans="1:28" x14ac:dyDescent="0.3">
      <c r="A4860" s="2"/>
      <c r="F4860" s="3"/>
      <c r="G4860" s="3"/>
      <c r="N4860" s="3"/>
      <c r="Q4860" s="3"/>
      <c r="R4860" s="3"/>
      <c r="S4860" s="3"/>
      <c r="V4860" s="3"/>
      <c r="W4860" s="3"/>
      <c r="X4860" s="3"/>
      <c r="Y4860" s="3"/>
      <c r="Z4860" s="3"/>
      <c r="AA4860" s="3"/>
      <c r="AB4860" s="3"/>
    </row>
    <row r="4861" spans="1:28" x14ac:dyDescent="0.3">
      <c r="A4861" s="2"/>
      <c r="F4861" s="3"/>
      <c r="G4861" s="3"/>
      <c r="N4861" s="3"/>
      <c r="Q4861" s="3"/>
      <c r="R4861" s="3"/>
      <c r="S4861" s="3"/>
      <c r="V4861" s="3"/>
      <c r="W4861" s="3"/>
      <c r="X4861" s="3"/>
      <c r="Y4861" s="3"/>
      <c r="Z4861" s="3"/>
      <c r="AA4861" s="3"/>
      <c r="AB4861" s="3"/>
    </row>
    <row r="4862" spans="1:28" x14ac:dyDescent="0.3">
      <c r="A4862" s="2"/>
      <c r="F4862" s="3"/>
      <c r="G4862" s="3"/>
      <c r="N4862" s="3"/>
      <c r="Q4862" s="3"/>
      <c r="R4862" s="3"/>
      <c r="S4862" s="3"/>
      <c r="V4862" s="3"/>
      <c r="W4862" s="3"/>
      <c r="X4862" s="3"/>
      <c r="Y4862" s="3"/>
      <c r="Z4862" s="3"/>
      <c r="AA4862" s="3"/>
      <c r="AB4862" s="3"/>
    </row>
    <row r="4863" spans="1:28" x14ac:dyDescent="0.3">
      <c r="A4863" s="2"/>
      <c r="F4863" s="3"/>
      <c r="G4863" s="3"/>
      <c r="N4863" s="3"/>
      <c r="Q4863" s="3"/>
      <c r="R4863" s="3"/>
      <c r="S4863" s="3"/>
      <c r="V4863" s="3"/>
      <c r="W4863" s="3"/>
      <c r="X4863" s="3"/>
      <c r="Y4863" s="3"/>
      <c r="Z4863" s="3"/>
      <c r="AA4863" s="3"/>
      <c r="AB4863" s="3"/>
    </row>
    <row r="4864" spans="1:28" x14ac:dyDescent="0.3">
      <c r="A4864" s="2"/>
      <c r="F4864" s="3"/>
      <c r="G4864" s="3"/>
      <c r="N4864" s="3"/>
      <c r="Q4864" s="3"/>
      <c r="R4864" s="3"/>
      <c r="S4864" s="3"/>
      <c r="V4864" s="3"/>
      <c r="W4864" s="3"/>
      <c r="X4864" s="3"/>
      <c r="Y4864" s="3"/>
      <c r="Z4864" s="3"/>
      <c r="AA4864" s="3"/>
      <c r="AB4864" s="3"/>
    </row>
    <row r="4865" spans="1:28" x14ac:dyDescent="0.3">
      <c r="A4865" s="2"/>
      <c r="F4865" s="3"/>
      <c r="G4865" s="3"/>
      <c r="N4865" s="3"/>
      <c r="Q4865" s="3"/>
      <c r="R4865" s="3"/>
      <c r="S4865" s="3"/>
      <c r="V4865" s="3"/>
      <c r="W4865" s="3"/>
      <c r="X4865" s="3"/>
      <c r="Y4865" s="3"/>
      <c r="Z4865" s="3"/>
      <c r="AA4865" s="3"/>
      <c r="AB4865" s="3"/>
    </row>
    <row r="4866" spans="1:28" x14ac:dyDescent="0.3">
      <c r="A4866" s="2"/>
      <c r="F4866" s="3"/>
      <c r="G4866" s="3"/>
      <c r="N4866" s="3"/>
      <c r="Q4866" s="3"/>
      <c r="R4866" s="3"/>
      <c r="S4866" s="3"/>
      <c r="V4866" s="3"/>
      <c r="W4866" s="3"/>
      <c r="X4866" s="3"/>
      <c r="Y4866" s="3"/>
      <c r="Z4866" s="3"/>
      <c r="AA4866" s="3"/>
      <c r="AB4866" s="3"/>
    </row>
    <row r="4867" spans="1:28" x14ac:dyDescent="0.3">
      <c r="A4867" s="2"/>
      <c r="F4867" s="3"/>
      <c r="G4867" s="3"/>
      <c r="N4867" s="3"/>
      <c r="Q4867" s="3"/>
      <c r="R4867" s="3"/>
      <c r="S4867" s="3"/>
      <c r="V4867" s="3"/>
      <c r="W4867" s="3"/>
      <c r="X4867" s="3"/>
      <c r="Y4867" s="3"/>
      <c r="Z4867" s="3"/>
      <c r="AA4867" s="3"/>
      <c r="AB4867" s="3"/>
    </row>
    <row r="4868" spans="1:28" x14ac:dyDescent="0.3">
      <c r="A4868" s="2"/>
      <c r="F4868" s="3"/>
      <c r="G4868" s="3"/>
      <c r="N4868" s="3"/>
      <c r="Q4868" s="3"/>
      <c r="R4868" s="3"/>
      <c r="S4868" s="3"/>
      <c r="V4868" s="3"/>
      <c r="W4868" s="3"/>
      <c r="X4868" s="3"/>
      <c r="Y4868" s="3"/>
      <c r="Z4868" s="3"/>
      <c r="AA4868" s="3"/>
      <c r="AB4868" s="3"/>
    </row>
    <row r="4869" spans="1:28" x14ac:dyDescent="0.3">
      <c r="A4869" s="2"/>
      <c r="F4869" s="3"/>
      <c r="G4869" s="3"/>
      <c r="N4869" s="3"/>
      <c r="Q4869" s="3"/>
      <c r="R4869" s="3"/>
      <c r="S4869" s="3"/>
      <c r="V4869" s="3"/>
      <c r="W4869" s="3"/>
      <c r="X4869" s="3"/>
      <c r="Y4869" s="3"/>
      <c r="Z4869" s="3"/>
      <c r="AA4869" s="3"/>
      <c r="AB4869" s="3"/>
    </row>
    <row r="4870" spans="1:28" x14ac:dyDescent="0.3">
      <c r="A4870" s="2"/>
      <c r="F4870" s="3"/>
      <c r="G4870" s="3"/>
      <c r="N4870" s="3"/>
      <c r="Q4870" s="3"/>
      <c r="R4870" s="3"/>
      <c r="S4870" s="3"/>
      <c r="V4870" s="3"/>
      <c r="W4870" s="3"/>
      <c r="X4870" s="3"/>
      <c r="Y4870" s="3"/>
      <c r="Z4870" s="3"/>
      <c r="AA4870" s="3"/>
      <c r="AB4870" s="3"/>
    </row>
    <row r="4871" spans="1:28" x14ac:dyDescent="0.3">
      <c r="A4871" s="2"/>
      <c r="F4871" s="3"/>
      <c r="G4871" s="3"/>
      <c r="N4871" s="3"/>
      <c r="Q4871" s="3"/>
      <c r="R4871" s="3"/>
      <c r="S4871" s="3"/>
      <c r="V4871" s="3"/>
      <c r="W4871" s="3"/>
      <c r="X4871" s="3"/>
      <c r="Y4871" s="3"/>
      <c r="Z4871" s="3"/>
      <c r="AA4871" s="3"/>
      <c r="AB4871" s="3"/>
    </row>
    <row r="4872" spans="1:28" x14ac:dyDescent="0.3">
      <c r="A4872" s="2"/>
      <c r="F4872" s="3"/>
      <c r="G4872" s="3"/>
      <c r="N4872" s="3"/>
      <c r="Q4872" s="3"/>
      <c r="R4872" s="3"/>
      <c r="S4872" s="3"/>
      <c r="V4872" s="3"/>
      <c r="W4872" s="3"/>
      <c r="X4872" s="3"/>
      <c r="Y4872" s="3"/>
      <c r="Z4872" s="3"/>
      <c r="AA4872" s="3"/>
      <c r="AB4872" s="3"/>
    </row>
    <row r="4873" spans="1:28" x14ac:dyDescent="0.3">
      <c r="A4873" s="2"/>
      <c r="F4873" s="3"/>
      <c r="G4873" s="3"/>
      <c r="N4873" s="3"/>
      <c r="Q4873" s="3"/>
      <c r="R4873" s="3"/>
      <c r="S4873" s="3"/>
      <c r="V4873" s="3"/>
      <c r="W4873" s="3"/>
      <c r="X4873" s="3"/>
      <c r="Y4873" s="3"/>
      <c r="Z4873" s="3"/>
      <c r="AA4873" s="3"/>
      <c r="AB4873" s="3"/>
    </row>
    <row r="4874" spans="1:28" x14ac:dyDescent="0.3">
      <c r="A4874" s="2"/>
      <c r="F4874" s="3"/>
      <c r="G4874" s="3"/>
      <c r="N4874" s="3"/>
      <c r="Q4874" s="3"/>
      <c r="R4874" s="3"/>
      <c r="S4874" s="3"/>
      <c r="V4874" s="3"/>
      <c r="W4874" s="3"/>
      <c r="X4874" s="3"/>
      <c r="Y4874" s="3"/>
      <c r="Z4874" s="3"/>
      <c r="AA4874" s="3"/>
      <c r="AB4874" s="3"/>
    </row>
    <row r="4875" spans="1:28" x14ac:dyDescent="0.3">
      <c r="A4875" s="2"/>
      <c r="F4875" s="3"/>
      <c r="G4875" s="3"/>
      <c r="N4875" s="3"/>
      <c r="Q4875" s="3"/>
      <c r="R4875" s="3"/>
      <c r="S4875" s="3"/>
      <c r="V4875" s="3"/>
      <c r="W4875" s="3"/>
      <c r="X4875" s="3"/>
      <c r="Y4875" s="3"/>
      <c r="Z4875" s="3"/>
      <c r="AA4875" s="3"/>
      <c r="AB4875" s="3"/>
    </row>
    <row r="4876" spans="1:28" x14ac:dyDescent="0.3">
      <c r="A4876" s="2"/>
      <c r="F4876" s="3"/>
      <c r="G4876" s="3"/>
      <c r="N4876" s="3"/>
      <c r="Q4876" s="3"/>
      <c r="R4876" s="3"/>
      <c r="S4876" s="3"/>
      <c r="V4876" s="3"/>
      <c r="W4876" s="3"/>
      <c r="X4876" s="3"/>
      <c r="Y4876" s="3"/>
      <c r="Z4876" s="3"/>
      <c r="AA4876" s="3"/>
      <c r="AB4876" s="3"/>
    </row>
    <row r="4877" spans="1:28" x14ac:dyDescent="0.3">
      <c r="A4877" s="2"/>
      <c r="F4877" s="3"/>
      <c r="G4877" s="3"/>
      <c r="N4877" s="3"/>
      <c r="Q4877" s="3"/>
      <c r="R4877" s="3"/>
      <c r="S4877" s="3"/>
      <c r="V4877" s="3"/>
      <c r="W4877" s="3"/>
      <c r="X4877" s="3"/>
      <c r="Y4877" s="3"/>
      <c r="Z4877" s="3"/>
      <c r="AA4877" s="3"/>
      <c r="AB4877" s="3"/>
    </row>
    <row r="4878" spans="1:28" x14ac:dyDescent="0.3">
      <c r="A4878" s="2"/>
      <c r="F4878" s="3"/>
      <c r="G4878" s="3"/>
      <c r="N4878" s="3"/>
      <c r="Q4878" s="3"/>
      <c r="R4878" s="3"/>
      <c r="S4878" s="3"/>
      <c r="V4878" s="3"/>
      <c r="W4878" s="3"/>
      <c r="X4878" s="3"/>
      <c r="Y4878" s="3"/>
      <c r="Z4878" s="3"/>
      <c r="AA4878" s="3"/>
      <c r="AB4878" s="3"/>
    </row>
    <row r="4879" spans="1:28" x14ac:dyDescent="0.3">
      <c r="A4879" s="2"/>
      <c r="F4879" s="3"/>
      <c r="G4879" s="3"/>
      <c r="N4879" s="3"/>
      <c r="Q4879" s="3"/>
      <c r="R4879" s="3"/>
      <c r="S4879" s="3"/>
      <c r="V4879" s="3"/>
      <c r="W4879" s="3"/>
      <c r="X4879" s="3"/>
      <c r="Y4879" s="3"/>
      <c r="Z4879" s="3"/>
      <c r="AA4879" s="3"/>
      <c r="AB4879" s="3"/>
    </row>
    <row r="4880" spans="1:28" x14ac:dyDescent="0.3">
      <c r="A4880" s="2"/>
      <c r="F4880" s="3"/>
      <c r="G4880" s="3"/>
      <c r="N4880" s="3"/>
      <c r="Q4880" s="3"/>
      <c r="R4880" s="3"/>
      <c r="S4880" s="3"/>
      <c r="V4880" s="3"/>
      <c r="W4880" s="3"/>
      <c r="X4880" s="3"/>
      <c r="Y4880" s="3"/>
      <c r="Z4880" s="3"/>
      <c r="AA4880" s="3"/>
      <c r="AB4880" s="3"/>
    </row>
    <row r="4881" spans="1:28" x14ac:dyDescent="0.3">
      <c r="A4881" s="2"/>
      <c r="F4881" s="3"/>
      <c r="G4881" s="3"/>
      <c r="N4881" s="3"/>
      <c r="Q4881" s="3"/>
      <c r="R4881" s="3"/>
      <c r="S4881" s="3"/>
      <c r="V4881" s="3"/>
      <c r="W4881" s="3"/>
      <c r="X4881" s="3"/>
      <c r="Y4881" s="3"/>
      <c r="Z4881" s="3"/>
      <c r="AA4881" s="3"/>
      <c r="AB4881" s="3"/>
    </row>
    <row r="4882" spans="1:28" x14ac:dyDescent="0.3">
      <c r="A4882" s="2"/>
      <c r="F4882" s="3"/>
      <c r="G4882" s="3"/>
      <c r="N4882" s="3"/>
      <c r="Q4882" s="3"/>
      <c r="R4882" s="3"/>
      <c r="S4882" s="3"/>
      <c r="V4882" s="3"/>
      <c r="W4882" s="3"/>
      <c r="X4882" s="3"/>
      <c r="Y4882" s="3"/>
      <c r="Z4882" s="3"/>
      <c r="AA4882" s="3"/>
      <c r="AB4882" s="3"/>
    </row>
    <row r="4883" spans="1:28" x14ac:dyDescent="0.3">
      <c r="A4883" s="2"/>
      <c r="F4883" s="3"/>
      <c r="G4883" s="3"/>
      <c r="N4883" s="3"/>
      <c r="Q4883" s="3"/>
      <c r="R4883" s="3"/>
      <c r="S4883" s="3"/>
      <c r="V4883" s="3"/>
      <c r="W4883" s="3"/>
      <c r="X4883" s="3"/>
      <c r="Y4883" s="3"/>
      <c r="Z4883" s="3"/>
      <c r="AA4883" s="3"/>
      <c r="AB4883" s="3"/>
    </row>
    <row r="4884" spans="1:28" x14ac:dyDescent="0.3">
      <c r="A4884" s="2"/>
      <c r="F4884" s="3"/>
      <c r="G4884" s="3"/>
      <c r="N4884" s="3"/>
      <c r="Q4884" s="3"/>
      <c r="R4884" s="3"/>
      <c r="S4884" s="3"/>
      <c r="V4884" s="3"/>
      <c r="W4884" s="3"/>
      <c r="X4884" s="3"/>
      <c r="Y4884" s="3"/>
      <c r="Z4884" s="3"/>
      <c r="AA4884" s="3"/>
      <c r="AB4884" s="3"/>
    </row>
    <row r="4885" spans="1:28" x14ac:dyDescent="0.3">
      <c r="A4885" s="2"/>
      <c r="F4885" s="3"/>
      <c r="G4885" s="3"/>
      <c r="N4885" s="3"/>
      <c r="Q4885" s="3"/>
      <c r="R4885" s="3"/>
      <c r="S4885" s="3"/>
      <c r="V4885" s="3"/>
      <c r="W4885" s="3"/>
      <c r="X4885" s="3"/>
      <c r="Y4885" s="3"/>
      <c r="Z4885" s="3"/>
      <c r="AA4885" s="3"/>
      <c r="AB4885" s="3"/>
    </row>
    <row r="4886" spans="1:28" x14ac:dyDescent="0.3">
      <c r="A4886" s="2"/>
      <c r="F4886" s="3"/>
      <c r="G4886" s="3"/>
      <c r="N4886" s="3"/>
      <c r="Q4886" s="3"/>
      <c r="R4886" s="3"/>
      <c r="S4886" s="3"/>
      <c r="V4886" s="3"/>
      <c r="W4886" s="3"/>
      <c r="X4886" s="3"/>
      <c r="Y4886" s="3"/>
      <c r="Z4886" s="3"/>
      <c r="AA4886" s="3"/>
      <c r="AB4886" s="3"/>
    </row>
    <row r="4887" spans="1:28" x14ac:dyDescent="0.3">
      <c r="A4887" s="2"/>
      <c r="F4887" s="3"/>
      <c r="G4887" s="3"/>
      <c r="N4887" s="3"/>
      <c r="Q4887" s="3"/>
      <c r="R4887" s="3"/>
      <c r="S4887" s="3"/>
      <c r="V4887" s="3"/>
      <c r="W4887" s="3"/>
      <c r="X4887" s="3"/>
      <c r="Y4887" s="3"/>
      <c r="Z4887" s="3"/>
      <c r="AA4887" s="3"/>
      <c r="AB4887" s="3"/>
    </row>
    <row r="4888" spans="1:28" x14ac:dyDescent="0.3">
      <c r="A4888" s="2"/>
      <c r="F4888" s="3"/>
      <c r="G4888" s="3"/>
      <c r="N4888" s="3"/>
      <c r="Q4888" s="3"/>
      <c r="R4888" s="3"/>
      <c r="S4888" s="3"/>
      <c r="V4888" s="3"/>
      <c r="W4888" s="3"/>
      <c r="X4888" s="3"/>
      <c r="Y4888" s="3"/>
      <c r="Z4888" s="3"/>
      <c r="AA4888" s="3"/>
      <c r="AB4888" s="3"/>
    </row>
    <row r="4889" spans="1:28" x14ac:dyDescent="0.3">
      <c r="A4889" s="2"/>
      <c r="F4889" s="3"/>
      <c r="G4889" s="3"/>
      <c r="N4889" s="3"/>
      <c r="Q4889" s="3"/>
      <c r="R4889" s="3"/>
      <c r="S4889" s="3"/>
      <c r="V4889" s="3"/>
      <c r="W4889" s="3"/>
      <c r="X4889" s="3"/>
      <c r="Y4889" s="3"/>
      <c r="Z4889" s="3"/>
      <c r="AA4889" s="3"/>
      <c r="AB4889" s="3"/>
    </row>
    <row r="4890" spans="1:28" x14ac:dyDescent="0.3">
      <c r="A4890" s="2"/>
      <c r="F4890" s="3"/>
      <c r="G4890" s="3"/>
      <c r="N4890" s="3"/>
      <c r="Q4890" s="3"/>
      <c r="R4890" s="3"/>
      <c r="S4890" s="3"/>
      <c r="V4890" s="3"/>
      <c r="W4890" s="3"/>
      <c r="X4890" s="3"/>
      <c r="Y4890" s="3"/>
      <c r="Z4890" s="3"/>
      <c r="AA4890" s="3"/>
      <c r="AB4890" s="3"/>
    </row>
    <row r="4891" spans="1:28" x14ac:dyDescent="0.3">
      <c r="A4891" s="2"/>
      <c r="F4891" s="3"/>
      <c r="G4891" s="3"/>
      <c r="N4891" s="3"/>
      <c r="Q4891" s="3"/>
      <c r="R4891" s="3"/>
      <c r="S4891" s="3"/>
      <c r="V4891" s="3"/>
      <c r="W4891" s="3"/>
      <c r="X4891" s="3"/>
      <c r="Y4891" s="3"/>
      <c r="Z4891" s="3"/>
      <c r="AA4891" s="3"/>
      <c r="AB4891" s="3"/>
    </row>
    <row r="4892" spans="1:28" x14ac:dyDescent="0.3">
      <c r="A4892" s="2"/>
      <c r="F4892" s="3"/>
      <c r="G4892" s="3"/>
      <c r="N4892" s="3"/>
      <c r="Q4892" s="3"/>
      <c r="R4892" s="3"/>
      <c r="S4892" s="3"/>
      <c r="V4892" s="3"/>
      <c r="W4892" s="3"/>
      <c r="X4892" s="3"/>
      <c r="Y4892" s="3"/>
      <c r="Z4892" s="3"/>
      <c r="AA4892" s="3"/>
      <c r="AB4892" s="3"/>
    </row>
    <row r="4893" spans="1:28" x14ac:dyDescent="0.3">
      <c r="A4893" s="2"/>
      <c r="F4893" s="3"/>
      <c r="G4893" s="3"/>
      <c r="N4893" s="3"/>
      <c r="Q4893" s="3"/>
      <c r="R4893" s="3"/>
      <c r="S4893" s="3"/>
      <c r="V4893" s="3"/>
      <c r="W4893" s="3"/>
      <c r="X4893" s="3"/>
      <c r="Y4893" s="3"/>
      <c r="Z4893" s="3"/>
      <c r="AA4893" s="3"/>
      <c r="AB4893" s="3"/>
    </row>
    <row r="4894" spans="1:28" x14ac:dyDescent="0.3">
      <c r="A4894" s="2"/>
      <c r="F4894" s="3"/>
      <c r="G4894" s="3"/>
      <c r="N4894" s="3"/>
      <c r="Q4894" s="3"/>
      <c r="R4894" s="3"/>
      <c r="S4894" s="3"/>
      <c r="V4894" s="3"/>
      <c r="W4894" s="3"/>
      <c r="X4894" s="3"/>
      <c r="Y4894" s="3"/>
      <c r="Z4894" s="3"/>
      <c r="AA4894" s="3"/>
      <c r="AB4894" s="3"/>
    </row>
    <row r="4895" spans="1:28" x14ac:dyDescent="0.3">
      <c r="A4895" s="2"/>
      <c r="F4895" s="3"/>
      <c r="G4895" s="3"/>
      <c r="N4895" s="3"/>
      <c r="Q4895" s="3"/>
      <c r="R4895" s="3"/>
      <c r="S4895" s="3"/>
      <c r="V4895" s="3"/>
      <c r="W4895" s="3"/>
      <c r="X4895" s="3"/>
      <c r="Y4895" s="3"/>
      <c r="Z4895" s="3"/>
      <c r="AA4895" s="3"/>
      <c r="AB4895" s="3"/>
    </row>
    <row r="4896" spans="1:28" x14ac:dyDescent="0.3">
      <c r="A4896" s="2"/>
      <c r="F4896" s="3"/>
      <c r="G4896" s="3"/>
      <c r="N4896" s="3"/>
      <c r="Q4896" s="3"/>
      <c r="R4896" s="3"/>
      <c r="S4896" s="3"/>
      <c r="V4896" s="3"/>
      <c r="W4896" s="3"/>
      <c r="X4896" s="3"/>
      <c r="Y4896" s="3"/>
      <c r="Z4896" s="3"/>
      <c r="AA4896" s="3"/>
      <c r="AB4896" s="3"/>
    </row>
    <row r="4897" spans="1:28" x14ac:dyDescent="0.3">
      <c r="A4897" s="2"/>
      <c r="F4897" s="3"/>
      <c r="G4897" s="3"/>
      <c r="N4897" s="3"/>
      <c r="Q4897" s="3"/>
      <c r="R4897" s="3"/>
      <c r="S4897" s="3"/>
      <c r="V4897" s="3"/>
      <c r="W4897" s="3"/>
      <c r="X4897" s="3"/>
      <c r="Y4897" s="3"/>
      <c r="Z4897" s="3"/>
      <c r="AA4897" s="3"/>
      <c r="AB4897" s="3"/>
    </row>
    <row r="4898" spans="1:28" x14ac:dyDescent="0.3">
      <c r="A4898" s="2"/>
      <c r="F4898" s="3"/>
      <c r="G4898" s="3"/>
      <c r="N4898" s="3"/>
      <c r="Q4898" s="3"/>
      <c r="R4898" s="3"/>
      <c r="S4898" s="3"/>
      <c r="V4898" s="3"/>
      <c r="W4898" s="3"/>
      <c r="X4898" s="3"/>
      <c r="Y4898" s="3"/>
      <c r="Z4898" s="3"/>
      <c r="AA4898" s="3"/>
      <c r="AB4898" s="3"/>
    </row>
    <row r="4899" spans="1:28" x14ac:dyDescent="0.3">
      <c r="A4899" s="2"/>
      <c r="F4899" s="3"/>
      <c r="G4899" s="3"/>
      <c r="N4899" s="3"/>
      <c r="Q4899" s="3"/>
      <c r="R4899" s="3"/>
      <c r="S4899" s="3"/>
      <c r="V4899" s="3"/>
      <c r="W4899" s="3"/>
      <c r="X4899" s="3"/>
      <c r="Y4899" s="3"/>
      <c r="Z4899" s="3"/>
      <c r="AA4899" s="3"/>
      <c r="AB4899" s="3"/>
    </row>
    <row r="4900" spans="1:28" x14ac:dyDescent="0.3">
      <c r="A4900" s="2"/>
      <c r="F4900" s="3"/>
      <c r="G4900" s="3"/>
      <c r="N4900" s="3"/>
      <c r="Q4900" s="3"/>
      <c r="R4900" s="3"/>
      <c r="S4900" s="3"/>
      <c r="V4900" s="3"/>
      <c r="W4900" s="3"/>
      <c r="X4900" s="3"/>
      <c r="Y4900" s="3"/>
      <c r="Z4900" s="3"/>
      <c r="AA4900" s="3"/>
      <c r="AB4900" s="3"/>
    </row>
    <row r="4901" spans="1:28" x14ac:dyDescent="0.3">
      <c r="A4901" s="2"/>
      <c r="F4901" s="3"/>
      <c r="G4901" s="3"/>
      <c r="N4901" s="3"/>
      <c r="Q4901" s="3"/>
      <c r="R4901" s="3"/>
      <c r="S4901" s="3"/>
      <c r="V4901" s="3"/>
      <c r="W4901" s="3"/>
      <c r="X4901" s="3"/>
      <c r="Y4901" s="3"/>
      <c r="Z4901" s="3"/>
      <c r="AA4901" s="3"/>
      <c r="AB4901" s="3"/>
    </row>
    <row r="4902" spans="1:28" x14ac:dyDescent="0.3">
      <c r="A4902" s="2"/>
      <c r="F4902" s="3"/>
      <c r="G4902" s="3"/>
      <c r="N4902" s="3"/>
      <c r="Q4902" s="3"/>
      <c r="R4902" s="3"/>
      <c r="S4902" s="3"/>
      <c r="V4902" s="3"/>
      <c r="W4902" s="3"/>
      <c r="X4902" s="3"/>
      <c r="Y4902" s="3"/>
      <c r="Z4902" s="3"/>
      <c r="AA4902" s="3"/>
      <c r="AB4902" s="3"/>
    </row>
    <row r="4903" spans="1:28" x14ac:dyDescent="0.3">
      <c r="A4903" s="2"/>
      <c r="F4903" s="3"/>
      <c r="G4903" s="3"/>
      <c r="N4903" s="3"/>
      <c r="Q4903" s="3"/>
      <c r="R4903" s="3"/>
      <c r="S4903" s="3"/>
      <c r="V4903" s="3"/>
      <c r="W4903" s="3"/>
      <c r="X4903" s="3"/>
      <c r="Y4903" s="3"/>
      <c r="Z4903" s="3"/>
      <c r="AA4903" s="3"/>
      <c r="AB4903" s="3"/>
    </row>
    <row r="4904" spans="1:28" x14ac:dyDescent="0.3">
      <c r="A4904" s="2"/>
      <c r="F4904" s="3"/>
      <c r="G4904" s="3"/>
      <c r="N4904" s="3"/>
      <c r="Q4904" s="3"/>
      <c r="R4904" s="3"/>
      <c r="S4904" s="3"/>
      <c r="V4904" s="3"/>
      <c r="W4904" s="3"/>
      <c r="X4904" s="3"/>
      <c r="Y4904" s="3"/>
      <c r="Z4904" s="3"/>
      <c r="AA4904" s="3"/>
      <c r="AB4904" s="3"/>
    </row>
    <row r="4905" spans="1:28" x14ac:dyDescent="0.3">
      <c r="A4905" s="2"/>
      <c r="F4905" s="3"/>
      <c r="G4905" s="3"/>
      <c r="N4905" s="3"/>
      <c r="Q4905" s="3"/>
      <c r="R4905" s="3"/>
      <c r="S4905" s="3"/>
      <c r="V4905" s="3"/>
      <c r="W4905" s="3"/>
      <c r="X4905" s="3"/>
      <c r="Y4905" s="3"/>
      <c r="Z4905" s="3"/>
      <c r="AA4905" s="3"/>
      <c r="AB4905" s="3"/>
    </row>
    <row r="4906" spans="1:28" x14ac:dyDescent="0.3">
      <c r="A4906" s="2"/>
      <c r="F4906" s="3"/>
      <c r="G4906" s="3"/>
      <c r="N4906" s="3"/>
      <c r="Q4906" s="3"/>
      <c r="R4906" s="3"/>
      <c r="S4906" s="3"/>
      <c r="V4906" s="3"/>
      <c r="W4906" s="3"/>
      <c r="X4906" s="3"/>
      <c r="Y4906" s="3"/>
      <c r="Z4906" s="3"/>
      <c r="AA4906" s="3"/>
      <c r="AB4906" s="3"/>
    </row>
    <row r="4907" spans="1:28" x14ac:dyDescent="0.3">
      <c r="A4907" s="2"/>
      <c r="F4907" s="3"/>
      <c r="G4907" s="3"/>
      <c r="N4907" s="3"/>
      <c r="Q4907" s="3"/>
      <c r="R4907" s="3"/>
      <c r="S4907" s="3"/>
      <c r="V4907" s="3"/>
      <c r="W4907" s="3"/>
      <c r="X4907" s="3"/>
      <c r="Y4907" s="3"/>
      <c r="Z4907" s="3"/>
      <c r="AA4907" s="3"/>
      <c r="AB4907" s="3"/>
    </row>
    <row r="4908" spans="1:28" x14ac:dyDescent="0.3">
      <c r="A4908" s="2"/>
      <c r="F4908" s="3"/>
      <c r="G4908" s="3"/>
      <c r="N4908" s="3"/>
      <c r="Q4908" s="3"/>
      <c r="R4908" s="3"/>
      <c r="S4908" s="3"/>
      <c r="V4908" s="3"/>
      <c r="W4908" s="3"/>
      <c r="X4908" s="3"/>
      <c r="Y4908" s="3"/>
      <c r="Z4908" s="3"/>
      <c r="AA4908" s="3"/>
      <c r="AB4908" s="3"/>
    </row>
    <row r="4909" spans="1:28" x14ac:dyDescent="0.3">
      <c r="A4909" s="2"/>
      <c r="F4909" s="3"/>
      <c r="G4909" s="3"/>
      <c r="N4909" s="3"/>
      <c r="Q4909" s="3"/>
      <c r="R4909" s="3"/>
      <c r="S4909" s="3"/>
      <c r="V4909" s="3"/>
      <c r="W4909" s="3"/>
      <c r="X4909" s="3"/>
      <c r="Y4909" s="3"/>
      <c r="Z4909" s="3"/>
      <c r="AA4909" s="3"/>
      <c r="AB4909" s="3"/>
    </row>
    <row r="4910" spans="1:28" x14ac:dyDescent="0.3">
      <c r="A4910" s="2"/>
      <c r="F4910" s="3"/>
      <c r="G4910" s="3"/>
      <c r="N4910" s="3"/>
      <c r="Q4910" s="3"/>
      <c r="R4910" s="3"/>
      <c r="S4910" s="3"/>
      <c r="V4910" s="3"/>
      <c r="W4910" s="3"/>
      <c r="X4910" s="3"/>
      <c r="Y4910" s="3"/>
      <c r="Z4910" s="3"/>
      <c r="AA4910" s="3"/>
      <c r="AB4910" s="3"/>
    </row>
    <row r="4911" spans="1:28" x14ac:dyDescent="0.3">
      <c r="A4911" s="2"/>
      <c r="F4911" s="3"/>
      <c r="G4911" s="3"/>
      <c r="N4911" s="3"/>
      <c r="Q4911" s="3"/>
      <c r="R4911" s="3"/>
      <c r="S4911" s="3"/>
      <c r="V4911" s="3"/>
      <c r="W4911" s="3"/>
      <c r="X4911" s="3"/>
      <c r="Y4911" s="3"/>
      <c r="Z4911" s="3"/>
      <c r="AA4911" s="3"/>
      <c r="AB4911" s="3"/>
    </row>
    <row r="4912" spans="1:28" x14ac:dyDescent="0.3">
      <c r="A4912" s="2"/>
      <c r="F4912" s="3"/>
      <c r="G4912" s="3"/>
      <c r="N4912" s="3"/>
      <c r="Q4912" s="3"/>
      <c r="R4912" s="3"/>
      <c r="S4912" s="3"/>
      <c r="V4912" s="3"/>
      <c r="W4912" s="3"/>
      <c r="X4912" s="3"/>
      <c r="Y4912" s="3"/>
      <c r="Z4912" s="3"/>
      <c r="AA4912" s="3"/>
      <c r="AB4912" s="3"/>
    </row>
    <row r="4913" spans="1:28" x14ac:dyDescent="0.3">
      <c r="A4913" s="2"/>
      <c r="F4913" s="3"/>
      <c r="G4913" s="3"/>
      <c r="N4913" s="3"/>
      <c r="Q4913" s="3"/>
      <c r="R4913" s="3"/>
      <c r="S4913" s="3"/>
      <c r="V4913" s="3"/>
      <c r="W4913" s="3"/>
      <c r="X4913" s="3"/>
      <c r="Y4913" s="3"/>
      <c r="Z4913" s="3"/>
      <c r="AA4913" s="3"/>
      <c r="AB4913" s="3"/>
    </row>
    <row r="4914" spans="1:28" x14ac:dyDescent="0.3">
      <c r="A4914" s="2"/>
      <c r="F4914" s="3"/>
      <c r="G4914" s="3"/>
      <c r="N4914" s="3"/>
      <c r="Q4914" s="3"/>
      <c r="R4914" s="3"/>
      <c r="S4914" s="3"/>
      <c r="V4914" s="3"/>
      <c r="W4914" s="3"/>
      <c r="X4914" s="3"/>
      <c r="Y4914" s="3"/>
      <c r="Z4914" s="3"/>
      <c r="AA4914" s="3"/>
      <c r="AB4914" s="3"/>
    </row>
    <row r="4915" spans="1:28" x14ac:dyDescent="0.3">
      <c r="A4915" s="2"/>
      <c r="F4915" s="3"/>
      <c r="G4915" s="3"/>
      <c r="N4915" s="3"/>
      <c r="Q4915" s="3"/>
      <c r="R4915" s="3"/>
      <c r="S4915" s="3"/>
      <c r="V4915" s="3"/>
      <c r="W4915" s="3"/>
      <c r="X4915" s="3"/>
      <c r="Y4915" s="3"/>
      <c r="Z4915" s="3"/>
      <c r="AA4915" s="3"/>
      <c r="AB4915" s="3"/>
    </row>
    <row r="4916" spans="1:28" x14ac:dyDescent="0.3">
      <c r="A4916" s="2"/>
      <c r="F4916" s="3"/>
      <c r="G4916" s="3"/>
      <c r="N4916" s="3"/>
      <c r="Q4916" s="3"/>
      <c r="R4916" s="3"/>
      <c r="S4916" s="3"/>
      <c r="V4916" s="3"/>
      <c r="W4916" s="3"/>
      <c r="X4916" s="3"/>
      <c r="Y4916" s="3"/>
      <c r="Z4916" s="3"/>
      <c r="AA4916" s="3"/>
      <c r="AB4916" s="3"/>
    </row>
    <row r="4917" spans="1:28" x14ac:dyDescent="0.3">
      <c r="A4917" s="2"/>
      <c r="F4917" s="3"/>
      <c r="G4917" s="3"/>
      <c r="N4917" s="3"/>
      <c r="Q4917" s="3"/>
      <c r="R4917" s="3"/>
      <c r="S4917" s="3"/>
      <c r="V4917" s="3"/>
      <c r="W4917" s="3"/>
      <c r="X4917" s="3"/>
      <c r="Y4917" s="3"/>
      <c r="Z4917" s="3"/>
      <c r="AA4917" s="3"/>
      <c r="AB4917" s="3"/>
    </row>
    <row r="4918" spans="1:28" x14ac:dyDescent="0.3">
      <c r="A4918" s="2"/>
      <c r="F4918" s="3"/>
      <c r="G4918" s="3"/>
      <c r="N4918" s="3"/>
      <c r="Q4918" s="3"/>
      <c r="R4918" s="3"/>
      <c r="S4918" s="3"/>
      <c r="V4918" s="3"/>
      <c r="W4918" s="3"/>
      <c r="X4918" s="3"/>
      <c r="Y4918" s="3"/>
      <c r="Z4918" s="3"/>
      <c r="AA4918" s="3"/>
      <c r="AB4918" s="3"/>
    </row>
    <row r="4919" spans="1:28" x14ac:dyDescent="0.3">
      <c r="A4919" s="2"/>
      <c r="F4919" s="3"/>
      <c r="G4919" s="3"/>
      <c r="N4919" s="3"/>
      <c r="Q4919" s="3"/>
      <c r="R4919" s="3"/>
      <c r="S4919" s="3"/>
      <c r="V4919" s="3"/>
      <c r="W4919" s="3"/>
      <c r="X4919" s="3"/>
      <c r="Y4919" s="3"/>
      <c r="Z4919" s="3"/>
      <c r="AA4919" s="3"/>
      <c r="AB4919" s="3"/>
    </row>
    <row r="4920" spans="1:28" x14ac:dyDescent="0.3">
      <c r="A4920" s="2"/>
      <c r="F4920" s="3"/>
      <c r="G4920" s="3"/>
      <c r="N4920" s="3"/>
      <c r="Q4920" s="3"/>
      <c r="R4920" s="3"/>
      <c r="S4920" s="3"/>
      <c r="V4920" s="3"/>
      <c r="W4920" s="3"/>
      <c r="X4920" s="3"/>
      <c r="Y4920" s="3"/>
      <c r="Z4920" s="3"/>
      <c r="AA4920" s="3"/>
      <c r="AB4920" s="3"/>
    </row>
    <row r="4921" spans="1:28" x14ac:dyDescent="0.3">
      <c r="A4921" s="2"/>
      <c r="F4921" s="3"/>
      <c r="G4921" s="3"/>
      <c r="N4921" s="3"/>
      <c r="Q4921" s="3"/>
      <c r="R4921" s="3"/>
      <c r="S4921" s="3"/>
      <c r="V4921" s="3"/>
      <c r="W4921" s="3"/>
      <c r="X4921" s="3"/>
      <c r="Y4921" s="3"/>
      <c r="Z4921" s="3"/>
      <c r="AA4921" s="3"/>
      <c r="AB4921" s="3"/>
    </row>
    <row r="4922" spans="1:28" x14ac:dyDescent="0.3">
      <c r="A4922" s="2"/>
      <c r="F4922" s="3"/>
      <c r="G4922" s="3"/>
      <c r="N4922" s="3"/>
      <c r="Q4922" s="3"/>
      <c r="R4922" s="3"/>
      <c r="S4922" s="3"/>
      <c r="V4922" s="3"/>
      <c r="W4922" s="3"/>
      <c r="X4922" s="3"/>
      <c r="Y4922" s="3"/>
      <c r="Z4922" s="3"/>
      <c r="AA4922" s="3"/>
      <c r="AB4922" s="3"/>
    </row>
    <row r="4923" spans="1:28" x14ac:dyDescent="0.3">
      <c r="A4923" s="2"/>
      <c r="F4923" s="3"/>
      <c r="G4923" s="3"/>
      <c r="N4923" s="3"/>
      <c r="Q4923" s="3"/>
      <c r="R4923" s="3"/>
      <c r="S4923" s="3"/>
      <c r="V4923" s="3"/>
      <c r="W4923" s="3"/>
      <c r="X4923" s="3"/>
      <c r="Y4923" s="3"/>
      <c r="Z4923" s="3"/>
      <c r="AA4923" s="3"/>
      <c r="AB4923" s="3"/>
    </row>
    <row r="4924" spans="1:28" x14ac:dyDescent="0.3">
      <c r="A4924" s="2"/>
      <c r="F4924" s="3"/>
      <c r="G4924" s="3"/>
      <c r="N4924" s="3"/>
      <c r="Q4924" s="3"/>
      <c r="R4924" s="3"/>
      <c r="S4924" s="3"/>
      <c r="V4924" s="3"/>
      <c r="W4924" s="3"/>
      <c r="X4924" s="3"/>
      <c r="Y4924" s="3"/>
      <c r="Z4924" s="3"/>
      <c r="AA4924" s="3"/>
      <c r="AB4924" s="3"/>
    </row>
    <row r="4925" spans="1:28" x14ac:dyDescent="0.3">
      <c r="A4925" s="2"/>
      <c r="F4925" s="3"/>
      <c r="G4925" s="3"/>
      <c r="N4925" s="3"/>
      <c r="Q4925" s="3"/>
      <c r="R4925" s="3"/>
      <c r="S4925" s="3"/>
      <c r="V4925" s="3"/>
      <c r="W4925" s="3"/>
      <c r="X4925" s="3"/>
      <c r="Y4925" s="3"/>
      <c r="Z4925" s="3"/>
      <c r="AA4925" s="3"/>
      <c r="AB4925" s="3"/>
    </row>
    <row r="4926" spans="1:28" x14ac:dyDescent="0.3">
      <c r="A4926" s="2"/>
      <c r="F4926" s="3"/>
      <c r="G4926" s="3"/>
      <c r="N4926" s="3"/>
      <c r="Q4926" s="3"/>
      <c r="R4926" s="3"/>
      <c r="S4926" s="3"/>
      <c r="V4926" s="3"/>
      <c r="W4926" s="3"/>
      <c r="X4926" s="3"/>
      <c r="Y4926" s="3"/>
      <c r="Z4926" s="3"/>
      <c r="AA4926" s="3"/>
      <c r="AB4926" s="3"/>
    </row>
    <row r="4927" spans="1:28" x14ac:dyDescent="0.3">
      <c r="A4927" s="2"/>
      <c r="F4927" s="3"/>
      <c r="G4927" s="3"/>
      <c r="N4927" s="3"/>
      <c r="Q4927" s="3"/>
      <c r="R4927" s="3"/>
      <c r="S4927" s="3"/>
      <c r="V4927" s="3"/>
      <c r="W4927" s="3"/>
      <c r="X4927" s="3"/>
      <c r="Y4927" s="3"/>
      <c r="Z4927" s="3"/>
      <c r="AA4927" s="3"/>
      <c r="AB4927" s="3"/>
    </row>
    <row r="4928" spans="1:28" x14ac:dyDescent="0.3">
      <c r="A4928" s="2"/>
      <c r="F4928" s="3"/>
      <c r="G4928" s="3"/>
      <c r="N4928" s="3"/>
      <c r="Q4928" s="3"/>
      <c r="R4928" s="3"/>
      <c r="S4928" s="3"/>
      <c r="V4928" s="3"/>
      <c r="W4928" s="3"/>
      <c r="X4928" s="3"/>
      <c r="Y4928" s="3"/>
      <c r="Z4928" s="3"/>
      <c r="AA4928" s="3"/>
      <c r="AB4928" s="3"/>
    </row>
    <row r="4929" spans="1:28" x14ac:dyDescent="0.3">
      <c r="A4929" s="2"/>
      <c r="F4929" s="3"/>
      <c r="G4929" s="3"/>
      <c r="N4929" s="3"/>
      <c r="Q4929" s="3"/>
      <c r="R4929" s="3"/>
      <c r="S4929" s="3"/>
      <c r="V4929" s="3"/>
      <c r="W4929" s="3"/>
      <c r="X4929" s="3"/>
      <c r="Y4929" s="3"/>
      <c r="Z4929" s="3"/>
      <c r="AA4929" s="3"/>
      <c r="AB4929" s="3"/>
    </row>
    <row r="4930" spans="1:28" x14ac:dyDescent="0.3">
      <c r="A4930" s="2"/>
      <c r="F4930" s="3"/>
      <c r="G4930" s="3"/>
      <c r="N4930" s="3"/>
      <c r="Q4930" s="3"/>
      <c r="R4930" s="3"/>
      <c r="S4930" s="3"/>
      <c r="V4930" s="3"/>
      <c r="W4930" s="3"/>
      <c r="X4930" s="3"/>
      <c r="Y4930" s="3"/>
      <c r="Z4930" s="3"/>
      <c r="AA4930" s="3"/>
      <c r="AB4930" s="3"/>
    </row>
    <row r="4931" spans="1:28" x14ac:dyDescent="0.3">
      <c r="A4931" s="2"/>
      <c r="F4931" s="3"/>
      <c r="G4931" s="3"/>
      <c r="N4931" s="3"/>
      <c r="Q4931" s="3"/>
      <c r="R4931" s="3"/>
      <c r="S4931" s="3"/>
      <c r="V4931" s="3"/>
      <c r="W4931" s="3"/>
      <c r="X4931" s="3"/>
      <c r="Y4931" s="3"/>
      <c r="Z4931" s="3"/>
      <c r="AA4931" s="3"/>
      <c r="AB4931" s="3"/>
    </row>
    <row r="4932" spans="1:28" x14ac:dyDescent="0.3">
      <c r="A4932" s="2"/>
      <c r="F4932" s="3"/>
      <c r="G4932" s="3"/>
      <c r="N4932" s="3"/>
      <c r="Q4932" s="3"/>
      <c r="R4932" s="3"/>
      <c r="S4932" s="3"/>
      <c r="V4932" s="3"/>
      <c r="W4932" s="3"/>
      <c r="X4932" s="3"/>
      <c r="Y4932" s="3"/>
      <c r="Z4932" s="3"/>
      <c r="AA4932" s="3"/>
      <c r="AB4932" s="3"/>
    </row>
    <row r="4933" spans="1:28" x14ac:dyDescent="0.3">
      <c r="A4933" s="2"/>
      <c r="F4933" s="3"/>
      <c r="G4933" s="3"/>
      <c r="N4933" s="3"/>
      <c r="Q4933" s="3"/>
      <c r="R4933" s="3"/>
      <c r="S4933" s="3"/>
      <c r="V4933" s="3"/>
      <c r="W4933" s="3"/>
      <c r="X4933" s="3"/>
      <c r="Y4933" s="3"/>
      <c r="Z4933" s="3"/>
      <c r="AA4933" s="3"/>
      <c r="AB4933" s="3"/>
    </row>
    <row r="4934" spans="1:28" x14ac:dyDescent="0.3">
      <c r="A4934" s="2"/>
      <c r="F4934" s="3"/>
      <c r="G4934" s="3"/>
      <c r="N4934" s="3"/>
      <c r="Q4934" s="3"/>
      <c r="R4934" s="3"/>
      <c r="S4934" s="3"/>
      <c r="V4934" s="3"/>
      <c r="W4934" s="3"/>
      <c r="X4934" s="3"/>
      <c r="Y4934" s="3"/>
      <c r="Z4934" s="3"/>
      <c r="AA4934" s="3"/>
      <c r="AB4934" s="3"/>
    </row>
    <row r="4935" spans="1:28" x14ac:dyDescent="0.3">
      <c r="A4935" s="2"/>
      <c r="F4935" s="3"/>
      <c r="G4935" s="3"/>
      <c r="N4935" s="3"/>
      <c r="Q4935" s="3"/>
      <c r="R4935" s="3"/>
      <c r="S4935" s="3"/>
      <c r="V4935" s="3"/>
      <c r="W4935" s="3"/>
      <c r="X4935" s="3"/>
      <c r="Y4935" s="3"/>
      <c r="Z4935" s="3"/>
      <c r="AA4935" s="3"/>
      <c r="AB4935" s="3"/>
    </row>
    <row r="4936" spans="1:28" x14ac:dyDescent="0.3">
      <c r="A4936" s="2"/>
      <c r="F4936" s="3"/>
      <c r="G4936" s="3"/>
      <c r="N4936" s="3"/>
      <c r="Q4936" s="3"/>
      <c r="R4936" s="3"/>
      <c r="S4936" s="3"/>
      <c r="V4936" s="3"/>
      <c r="W4936" s="3"/>
      <c r="X4936" s="3"/>
      <c r="Y4936" s="3"/>
      <c r="Z4936" s="3"/>
      <c r="AA4936" s="3"/>
      <c r="AB4936" s="3"/>
    </row>
    <row r="4937" spans="1:28" x14ac:dyDescent="0.3">
      <c r="A4937" s="2"/>
      <c r="F4937" s="3"/>
      <c r="G4937" s="3"/>
      <c r="N4937" s="3"/>
      <c r="Q4937" s="3"/>
      <c r="R4937" s="3"/>
      <c r="S4937" s="3"/>
      <c r="V4937" s="3"/>
      <c r="W4937" s="3"/>
      <c r="X4937" s="3"/>
      <c r="Y4937" s="3"/>
      <c r="Z4937" s="3"/>
      <c r="AA4937" s="3"/>
      <c r="AB4937" s="3"/>
    </row>
    <row r="4938" spans="1:28" x14ac:dyDescent="0.3">
      <c r="A4938" s="2"/>
      <c r="F4938" s="3"/>
      <c r="G4938" s="3"/>
      <c r="N4938" s="3"/>
      <c r="Q4938" s="3"/>
      <c r="R4938" s="3"/>
      <c r="S4938" s="3"/>
      <c r="V4938" s="3"/>
      <c r="W4938" s="3"/>
      <c r="X4938" s="3"/>
      <c r="Y4938" s="3"/>
      <c r="Z4938" s="3"/>
      <c r="AA4938" s="3"/>
      <c r="AB4938" s="3"/>
    </row>
    <row r="4939" spans="1:28" x14ac:dyDescent="0.3">
      <c r="A4939" s="2"/>
      <c r="F4939" s="3"/>
      <c r="G4939" s="3"/>
      <c r="N4939" s="3"/>
      <c r="Q4939" s="3"/>
      <c r="R4939" s="3"/>
      <c r="S4939" s="3"/>
      <c r="V4939" s="3"/>
      <c r="W4939" s="3"/>
      <c r="X4939" s="3"/>
      <c r="Y4939" s="3"/>
      <c r="Z4939" s="3"/>
      <c r="AA4939" s="3"/>
      <c r="AB4939" s="3"/>
    </row>
    <row r="4940" spans="1:28" x14ac:dyDescent="0.3">
      <c r="A4940" s="2"/>
      <c r="F4940" s="3"/>
      <c r="G4940" s="3"/>
      <c r="N4940" s="3"/>
      <c r="Q4940" s="3"/>
      <c r="R4940" s="3"/>
      <c r="S4940" s="3"/>
      <c r="V4940" s="3"/>
      <c r="W4940" s="3"/>
      <c r="X4940" s="3"/>
      <c r="Y4940" s="3"/>
      <c r="Z4940" s="3"/>
      <c r="AA4940" s="3"/>
      <c r="AB4940" s="3"/>
    </row>
    <row r="4941" spans="1:28" x14ac:dyDescent="0.3">
      <c r="A4941" s="2"/>
      <c r="F4941" s="3"/>
      <c r="G4941" s="3"/>
      <c r="N4941" s="3"/>
      <c r="Q4941" s="3"/>
      <c r="R4941" s="3"/>
      <c r="S4941" s="3"/>
      <c r="V4941" s="3"/>
      <c r="W4941" s="3"/>
      <c r="X4941" s="3"/>
      <c r="Y4941" s="3"/>
      <c r="Z4941" s="3"/>
      <c r="AA4941" s="3"/>
      <c r="AB4941" s="3"/>
    </row>
    <row r="4942" spans="1:28" x14ac:dyDescent="0.3">
      <c r="A4942" s="2"/>
      <c r="F4942" s="3"/>
      <c r="G4942" s="3"/>
      <c r="N4942" s="3"/>
      <c r="Q4942" s="3"/>
      <c r="R4942" s="3"/>
      <c r="S4942" s="3"/>
      <c r="V4942" s="3"/>
      <c r="W4942" s="3"/>
      <c r="X4942" s="3"/>
      <c r="Y4942" s="3"/>
      <c r="Z4942" s="3"/>
      <c r="AA4942" s="3"/>
      <c r="AB4942" s="3"/>
    </row>
    <row r="4943" spans="1:28" x14ac:dyDescent="0.3">
      <c r="A4943" s="2"/>
      <c r="F4943" s="3"/>
      <c r="G4943" s="3"/>
      <c r="N4943" s="3"/>
      <c r="Q4943" s="3"/>
      <c r="R4943" s="3"/>
      <c r="S4943" s="3"/>
      <c r="V4943" s="3"/>
      <c r="W4943" s="3"/>
      <c r="X4943" s="3"/>
      <c r="Y4943" s="3"/>
      <c r="Z4943" s="3"/>
      <c r="AA4943" s="3"/>
      <c r="AB4943" s="3"/>
    </row>
    <row r="4944" spans="1:28" x14ac:dyDescent="0.3">
      <c r="A4944" s="2"/>
      <c r="F4944" s="3"/>
      <c r="G4944" s="3"/>
      <c r="N4944" s="3"/>
      <c r="Q4944" s="3"/>
      <c r="R4944" s="3"/>
      <c r="S4944" s="3"/>
      <c r="V4944" s="3"/>
      <c r="W4944" s="3"/>
      <c r="X4944" s="3"/>
      <c r="Y4944" s="3"/>
      <c r="Z4944" s="3"/>
      <c r="AA4944" s="3"/>
      <c r="AB4944" s="3"/>
    </row>
    <row r="4945" spans="1:28" x14ac:dyDescent="0.3">
      <c r="A4945" s="2"/>
      <c r="F4945" s="3"/>
      <c r="G4945" s="3"/>
      <c r="N4945" s="3"/>
      <c r="Q4945" s="3"/>
      <c r="R4945" s="3"/>
      <c r="S4945" s="3"/>
      <c r="V4945" s="3"/>
      <c r="W4945" s="3"/>
      <c r="X4945" s="3"/>
      <c r="Y4945" s="3"/>
      <c r="Z4945" s="3"/>
      <c r="AA4945" s="3"/>
      <c r="AB4945" s="3"/>
    </row>
    <row r="4946" spans="1:28" x14ac:dyDescent="0.3">
      <c r="A4946" s="2"/>
      <c r="F4946" s="3"/>
      <c r="G4946" s="3"/>
      <c r="N4946" s="3"/>
      <c r="Q4946" s="3"/>
      <c r="R4946" s="3"/>
      <c r="S4946" s="3"/>
      <c r="V4946" s="3"/>
      <c r="W4946" s="3"/>
      <c r="X4946" s="3"/>
      <c r="Y4946" s="3"/>
      <c r="Z4946" s="3"/>
      <c r="AA4946" s="3"/>
      <c r="AB4946" s="3"/>
    </row>
    <row r="4947" spans="1:28" x14ac:dyDescent="0.3">
      <c r="A4947" s="2"/>
      <c r="F4947" s="3"/>
      <c r="G4947" s="3"/>
      <c r="N4947" s="3"/>
      <c r="Q4947" s="3"/>
      <c r="R4947" s="3"/>
      <c r="S4947" s="3"/>
      <c r="V4947" s="3"/>
      <c r="W4947" s="3"/>
      <c r="X4947" s="3"/>
      <c r="Y4947" s="3"/>
      <c r="Z4947" s="3"/>
      <c r="AA4947" s="3"/>
      <c r="AB4947" s="3"/>
    </row>
    <row r="4948" spans="1:28" x14ac:dyDescent="0.3">
      <c r="A4948" s="2"/>
      <c r="F4948" s="3"/>
      <c r="G4948" s="3"/>
      <c r="N4948" s="3"/>
      <c r="Q4948" s="3"/>
      <c r="R4948" s="3"/>
      <c r="S4948" s="3"/>
      <c r="V4948" s="3"/>
      <c r="W4948" s="3"/>
      <c r="X4948" s="3"/>
      <c r="Y4948" s="3"/>
      <c r="Z4948" s="3"/>
      <c r="AA4948" s="3"/>
      <c r="AB4948" s="3"/>
    </row>
    <row r="4949" spans="1:28" x14ac:dyDescent="0.3">
      <c r="A4949" s="2"/>
      <c r="F4949" s="3"/>
      <c r="G4949" s="3"/>
      <c r="N4949" s="3"/>
      <c r="Q4949" s="3"/>
      <c r="R4949" s="3"/>
      <c r="S4949" s="3"/>
      <c r="V4949" s="3"/>
      <c r="W4949" s="3"/>
      <c r="X4949" s="3"/>
      <c r="Y4949" s="3"/>
      <c r="Z4949" s="3"/>
      <c r="AA4949" s="3"/>
      <c r="AB4949" s="3"/>
    </row>
    <row r="4950" spans="1:28" x14ac:dyDescent="0.3">
      <c r="A4950" s="2"/>
      <c r="F4950" s="3"/>
      <c r="G4950" s="3"/>
      <c r="N4950" s="3"/>
      <c r="Q4950" s="3"/>
      <c r="R4950" s="3"/>
      <c r="S4950" s="3"/>
      <c r="V4950" s="3"/>
      <c r="W4950" s="3"/>
      <c r="X4950" s="3"/>
      <c r="Y4950" s="3"/>
      <c r="Z4950" s="3"/>
      <c r="AA4950" s="3"/>
      <c r="AB4950" s="3"/>
    </row>
    <row r="4951" spans="1:28" x14ac:dyDescent="0.3">
      <c r="A4951" s="2"/>
      <c r="F4951" s="3"/>
      <c r="G4951" s="3"/>
      <c r="N4951" s="3"/>
      <c r="Q4951" s="3"/>
      <c r="R4951" s="3"/>
      <c r="S4951" s="3"/>
      <c r="V4951" s="3"/>
      <c r="W4951" s="3"/>
      <c r="X4951" s="3"/>
      <c r="Y4951" s="3"/>
      <c r="Z4951" s="3"/>
      <c r="AA4951" s="3"/>
      <c r="AB4951" s="3"/>
    </row>
    <row r="4952" spans="1:28" x14ac:dyDescent="0.3">
      <c r="A4952" s="2"/>
      <c r="F4952" s="3"/>
      <c r="G4952" s="3"/>
      <c r="N4952" s="3"/>
      <c r="Q4952" s="3"/>
      <c r="R4952" s="3"/>
      <c r="S4952" s="3"/>
      <c r="V4952" s="3"/>
      <c r="W4952" s="3"/>
      <c r="X4952" s="3"/>
      <c r="Y4952" s="3"/>
      <c r="Z4952" s="3"/>
      <c r="AA4952" s="3"/>
      <c r="AB4952" s="3"/>
    </row>
    <row r="4953" spans="1:28" x14ac:dyDescent="0.3">
      <c r="A4953" s="2"/>
      <c r="F4953" s="3"/>
      <c r="G4953" s="3"/>
      <c r="N4953" s="3"/>
      <c r="Q4953" s="3"/>
      <c r="R4953" s="3"/>
      <c r="S4953" s="3"/>
      <c r="V4953" s="3"/>
      <c r="W4953" s="3"/>
      <c r="X4953" s="3"/>
      <c r="Y4953" s="3"/>
      <c r="Z4953" s="3"/>
      <c r="AA4953" s="3"/>
      <c r="AB4953" s="3"/>
    </row>
    <row r="4954" spans="1:28" x14ac:dyDescent="0.3">
      <c r="A4954" s="2"/>
      <c r="F4954" s="3"/>
      <c r="G4954" s="3"/>
      <c r="N4954" s="3"/>
      <c r="Q4954" s="3"/>
      <c r="R4954" s="3"/>
      <c r="S4954" s="3"/>
      <c r="V4954" s="3"/>
      <c r="W4954" s="3"/>
      <c r="X4954" s="3"/>
      <c r="Y4954" s="3"/>
      <c r="Z4954" s="3"/>
      <c r="AA4954" s="3"/>
      <c r="AB4954" s="3"/>
    </row>
    <row r="4955" spans="1:28" x14ac:dyDescent="0.3">
      <c r="A4955" s="2"/>
      <c r="F4955" s="3"/>
      <c r="G4955" s="3"/>
      <c r="N4955" s="3"/>
      <c r="Q4955" s="3"/>
      <c r="R4955" s="3"/>
      <c r="S4955" s="3"/>
      <c r="V4955" s="3"/>
      <c r="W4955" s="3"/>
      <c r="X4955" s="3"/>
      <c r="Y4955" s="3"/>
      <c r="Z4955" s="3"/>
      <c r="AA4955" s="3"/>
      <c r="AB4955" s="3"/>
    </row>
    <row r="4956" spans="1:28" x14ac:dyDescent="0.3">
      <c r="A4956" s="2"/>
      <c r="F4956" s="3"/>
      <c r="G4956" s="3"/>
      <c r="N4956" s="3"/>
      <c r="Q4956" s="3"/>
      <c r="R4956" s="3"/>
      <c r="S4956" s="3"/>
      <c r="V4956" s="3"/>
      <c r="W4956" s="3"/>
      <c r="X4956" s="3"/>
      <c r="Y4956" s="3"/>
      <c r="Z4956" s="3"/>
      <c r="AA4956" s="3"/>
      <c r="AB4956" s="3"/>
    </row>
    <row r="4957" spans="1:28" x14ac:dyDescent="0.3">
      <c r="A4957" s="2"/>
      <c r="F4957" s="3"/>
      <c r="G4957" s="3"/>
      <c r="N4957" s="3"/>
      <c r="Q4957" s="3"/>
      <c r="R4957" s="3"/>
      <c r="S4957" s="3"/>
      <c r="V4957" s="3"/>
      <c r="W4957" s="3"/>
      <c r="X4957" s="3"/>
      <c r="Y4957" s="3"/>
      <c r="Z4957" s="3"/>
      <c r="AA4957" s="3"/>
      <c r="AB4957" s="3"/>
    </row>
    <row r="4958" spans="1:28" x14ac:dyDescent="0.3">
      <c r="A4958" s="2"/>
      <c r="F4958" s="3"/>
      <c r="G4958" s="3"/>
      <c r="N4958" s="3"/>
      <c r="Q4958" s="3"/>
      <c r="R4958" s="3"/>
      <c r="S4958" s="3"/>
      <c r="V4958" s="3"/>
      <c r="W4958" s="3"/>
      <c r="X4958" s="3"/>
      <c r="Y4958" s="3"/>
      <c r="Z4958" s="3"/>
      <c r="AA4958" s="3"/>
      <c r="AB4958" s="3"/>
    </row>
    <row r="4959" spans="1:28" x14ac:dyDescent="0.3">
      <c r="A4959" s="2"/>
      <c r="F4959" s="3"/>
      <c r="G4959" s="3"/>
      <c r="N4959" s="3"/>
      <c r="Q4959" s="3"/>
      <c r="R4959" s="3"/>
      <c r="S4959" s="3"/>
      <c r="V4959" s="3"/>
      <c r="W4959" s="3"/>
      <c r="X4959" s="3"/>
      <c r="Y4959" s="3"/>
      <c r="Z4959" s="3"/>
      <c r="AA4959" s="3"/>
      <c r="AB4959" s="3"/>
    </row>
    <row r="4960" spans="1:28" x14ac:dyDescent="0.3">
      <c r="A4960" s="2"/>
      <c r="F4960" s="3"/>
      <c r="G4960" s="3"/>
      <c r="N4960" s="3"/>
      <c r="Q4960" s="3"/>
      <c r="R4960" s="3"/>
      <c r="S4960" s="3"/>
      <c r="V4960" s="3"/>
      <c r="W4960" s="3"/>
      <c r="X4960" s="3"/>
      <c r="Y4960" s="3"/>
      <c r="Z4960" s="3"/>
      <c r="AA4960" s="3"/>
      <c r="AB4960" s="3"/>
    </row>
    <row r="4961" spans="1:28" x14ac:dyDescent="0.3">
      <c r="A4961" s="2"/>
      <c r="F4961" s="3"/>
      <c r="G4961" s="3"/>
      <c r="N4961" s="3"/>
      <c r="Q4961" s="3"/>
      <c r="R4961" s="3"/>
      <c r="S4961" s="3"/>
      <c r="V4961" s="3"/>
      <c r="W4961" s="3"/>
      <c r="X4961" s="3"/>
      <c r="Y4961" s="3"/>
      <c r="Z4961" s="3"/>
      <c r="AA4961" s="3"/>
      <c r="AB4961" s="3"/>
    </row>
    <row r="4962" spans="1:28" x14ac:dyDescent="0.3">
      <c r="A4962" s="2"/>
      <c r="F4962" s="3"/>
      <c r="G4962" s="3"/>
      <c r="N4962" s="3"/>
      <c r="Q4962" s="3"/>
      <c r="R4962" s="3"/>
      <c r="S4962" s="3"/>
      <c r="V4962" s="3"/>
      <c r="W4962" s="3"/>
      <c r="X4962" s="3"/>
      <c r="Y4962" s="3"/>
      <c r="Z4962" s="3"/>
      <c r="AA4962" s="3"/>
      <c r="AB4962" s="3"/>
    </row>
    <row r="4963" spans="1:28" x14ac:dyDescent="0.3">
      <c r="A4963" s="2"/>
      <c r="F4963" s="3"/>
      <c r="G4963" s="3"/>
      <c r="N4963" s="3"/>
      <c r="Q4963" s="3"/>
      <c r="R4963" s="3"/>
      <c r="S4963" s="3"/>
      <c r="V4963" s="3"/>
      <c r="W4963" s="3"/>
      <c r="X4963" s="3"/>
      <c r="Y4963" s="3"/>
      <c r="Z4963" s="3"/>
      <c r="AA4963" s="3"/>
      <c r="AB4963" s="3"/>
    </row>
    <row r="4964" spans="1:28" x14ac:dyDescent="0.3">
      <c r="A4964" s="2"/>
      <c r="F4964" s="3"/>
      <c r="G4964" s="3"/>
      <c r="N4964" s="3"/>
      <c r="Q4964" s="3"/>
      <c r="R4964" s="3"/>
      <c r="S4964" s="3"/>
      <c r="V4964" s="3"/>
      <c r="W4964" s="3"/>
      <c r="X4964" s="3"/>
      <c r="Y4964" s="3"/>
      <c r="Z4964" s="3"/>
      <c r="AA4964" s="3"/>
      <c r="AB4964" s="3"/>
    </row>
    <row r="4965" spans="1:28" x14ac:dyDescent="0.3">
      <c r="A4965" s="2"/>
      <c r="F4965" s="3"/>
      <c r="G4965" s="3"/>
      <c r="N4965" s="3"/>
      <c r="Q4965" s="3"/>
      <c r="R4965" s="3"/>
      <c r="S4965" s="3"/>
      <c r="V4965" s="3"/>
      <c r="W4965" s="3"/>
      <c r="X4965" s="3"/>
      <c r="Y4965" s="3"/>
      <c r="Z4965" s="3"/>
      <c r="AA4965" s="3"/>
      <c r="AB4965" s="3"/>
    </row>
    <row r="4966" spans="1:28" x14ac:dyDescent="0.3">
      <c r="A4966" s="2"/>
      <c r="F4966" s="3"/>
      <c r="G4966" s="3"/>
      <c r="N4966" s="3"/>
      <c r="Q4966" s="3"/>
      <c r="R4966" s="3"/>
      <c r="S4966" s="3"/>
      <c r="V4966" s="3"/>
      <c r="W4966" s="3"/>
      <c r="X4966" s="3"/>
      <c r="Y4966" s="3"/>
      <c r="Z4966" s="3"/>
      <c r="AA4966" s="3"/>
      <c r="AB4966" s="3"/>
    </row>
    <row r="4967" spans="1:28" x14ac:dyDescent="0.3">
      <c r="A4967" s="2"/>
      <c r="F4967" s="3"/>
      <c r="G4967" s="3"/>
      <c r="N4967" s="3"/>
      <c r="Q4967" s="3"/>
      <c r="R4967" s="3"/>
      <c r="S4967" s="3"/>
      <c r="V4967" s="3"/>
      <c r="W4967" s="3"/>
      <c r="X4967" s="3"/>
      <c r="Y4967" s="3"/>
      <c r="Z4967" s="3"/>
      <c r="AA4967" s="3"/>
      <c r="AB4967" s="3"/>
    </row>
    <row r="4968" spans="1:28" x14ac:dyDescent="0.3">
      <c r="A4968" s="2"/>
      <c r="F4968" s="3"/>
      <c r="G4968" s="3"/>
      <c r="N4968" s="3"/>
      <c r="Q4968" s="3"/>
      <c r="R4968" s="3"/>
      <c r="S4968" s="3"/>
      <c r="V4968" s="3"/>
      <c r="W4968" s="3"/>
      <c r="X4968" s="3"/>
      <c r="Y4968" s="3"/>
      <c r="Z4968" s="3"/>
      <c r="AA4968" s="3"/>
      <c r="AB4968" s="3"/>
    </row>
    <row r="4969" spans="1:28" x14ac:dyDescent="0.3">
      <c r="A4969" s="2"/>
      <c r="F4969" s="3"/>
      <c r="G4969" s="3"/>
      <c r="N4969" s="3"/>
      <c r="Q4969" s="3"/>
      <c r="R4969" s="3"/>
      <c r="S4969" s="3"/>
      <c r="V4969" s="3"/>
      <c r="W4969" s="3"/>
      <c r="X4969" s="3"/>
      <c r="Y4969" s="3"/>
      <c r="Z4969" s="3"/>
      <c r="AA4969" s="3"/>
      <c r="AB4969" s="3"/>
    </row>
    <row r="4970" spans="1:28" x14ac:dyDescent="0.3">
      <c r="A4970" s="2"/>
      <c r="F4970" s="3"/>
      <c r="G4970" s="3"/>
      <c r="N4970" s="3"/>
      <c r="Q4970" s="3"/>
      <c r="R4970" s="3"/>
      <c r="S4970" s="3"/>
      <c r="V4970" s="3"/>
      <c r="W4970" s="3"/>
      <c r="X4970" s="3"/>
      <c r="Y4970" s="3"/>
      <c r="Z4970" s="3"/>
      <c r="AA4970" s="3"/>
      <c r="AB4970" s="3"/>
    </row>
    <row r="4971" spans="1:28" x14ac:dyDescent="0.3">
      <c r="A4971" s="2"/>
      <c r="F4971" s="3"/>
      <c r="G4971" s="3"/>
      <c r="N4971" s="3"/>
      <c r="Q4971" s="3"/>
      <c r="R4971" s="3"/>
      <c r="S4971" s="3"/>
      <c r="V4971" s="3"/>
      <c r="W4971" s="3"/>
      <c r="X4971" s="3"/>
      <c r="Y4971" s="3"/>
      <c r="Z4971" s="3"/>
      <c r="AA4971" s="3"/>
      <c r="AB4971" s="3"/>
    </row>
    <row r="4972" spans="1:28" x14ac:dyDescent="0.3">
      <c r="A4972" s="2"/>
      <c r="F4972" s="3"/>
      <c r="G4972" s="3"/>
      <c r="N4972" s="3"/>
      <c r="Q4972" s="3"/>
      <c r="R4972" s="3"/>
      <c r="S4972" s="3"/>
      <c r="V4972" s="3"/>
      <c r="W4972" s="3"/>
      <c r="X4972" s="3"/>
      <c r="Y4972" s="3"/>
      <c r="Z4972" s="3"/>
      <c r="AA4972" s="3"/>
      <c r="AB4972" s="3"/>
    </row>
    <row r="4973" spans="1:28" x14ac:dyDescent="0.3">
      <c r="A4973" s="2"/>
      <c r="F4973" s="3"/>
      <c r="G4973" s="3"/>
      <c r="N4973" s="3"/>
      <c r="Q4973" s="3"/>
      <c r="R4973" s="3"/>
      <c r="S4973" s="3"/>
      <c r="V4973" s="3"/>
      <c r="W4973" s="3"/>
      <c r="X4973" s="3"/>
      <c r="Y4973" s="3"/>
      <c r="Z4973" s="3"/>
      <c r="AA4973" s="3"/>
      <c r="AB4973" s="3"/>
    </row>
    <row r="4974" spans="1:28" x14ac:dyDescent="0.3">
      <c r="A4974" s="2"/>
      <c r="F4974" s="3"/>
      <c r="G4974" s="3"/>
      <c r="N4974" s="3"/>
      <c r="Q4974" s="3"/>
      <c r="R4974" s="3"/>
      <c r="S4974" s="3"/>
      <c r="V4974" s="3"/>
      <c r="W4974" s="3"/>
      <c r="X4974" s="3"/>
      <c r="Y4974" s="3"/>
      <c r="Z4974" s="3"/>
      <c r="AA4974" s="3"/>
      <c r="AB4974" s="3"/>
    </row>
    <row r="4975" spans="1:28" x14ac:dyDescent="0.3">
      <c r="A4975" s="2"/>
      <c r="F4975" s="3"/>
      <c r="G4975" s="3"/>
      <c r="N4975" s="3"/>
      <c r="Q4975" s="3"/>
      <c r="R4975" s="3"/>
      <c r="S4975" s="3"/>
      <c r="V4975" s="3"/>
      <c r="W4975" s="3"/>
      <c r="X4975" s="3"/>
      <c r="Y4975" s="3"/>
      <c r="Z4975" s="3"/>
      <c r="AA4975" s="3"/>
      <c r="AB4975" s="3"/>
    </row>
    <row r="4976" spans="1:28" x14ac:dyDescent="0.3">
      <c r="A4976" s="2"/>
      <c r="F4976" s="3"/>
      <c r="G4976" s="3"/>
      <c r="N4976" s="3"/>
      <c r="Q4976" s="3"/>
      <c r="R4976" s="3"/>
      <c r="S4976" s="3"/>
      <c r="V4976" s="3"/>
      <c r="W4976" s="3"/>
      <c r="X4976" s="3"/>
      <c r="Y4976" s="3"/>
      <c r="Z4976" s="3"/>
      <c r="AA4976" s="3"/>
      <c r="AB4976" s="3"/>
    </row>
    <row r="4977" spans="1:28" x14ac:dyDescent="0.3">
      <c r="A4977" s="2"/>
      <c r="F4977" s="3"/>
      <c r="G4977" s="3"/>
      <c r="N4977" s="3"/>
      <c r="Q4977" s="3"/>
      <c r="R4977" s="3"/>
      <c r="S4977" s="3"/>
      <c r="V4977" s="3"/>
      <c r="W4977" s="3"/>
      <c r="X4977" s="3"/>
      <c r="Y4977" s="3"/>
      <c r="Z4977" s="3"/>
      <c r="AA4977" s="3"/>
      <c r="AB4977" s="3"/>
    </row>
    <row r="4978" spans="1:28" x14ac:dyDescent="0.3">
      <c r="A4978" s="2"/>
      <c r="F4978" s="3"/>
      <c r="G4978" s="3"/>
      <c r="N4978" s="3"/>
      <c r="Q4978" s="3"/>
      <c r="R4978" s="3"/>
      <c r="S4978" s="3"/>
      <c r="V4978" s="3"/>
      <c r="W4978" s="3"/>
      <c r="X4978" s="3"/>
      <c r="Y4978" s="3"/>
      <c r="Z4978" s="3"/>
      <c r="AA4978" s="3"/>
      <c r="AB4978" s="3"/>
    </row>
    <row r="4979" spans="1:28" x14ac:dyDescent="0.3">
      <c r="A4979" s="2"/>
      <c r="F4979" s="3"/>
      <c r="G4979" s="3"/>
      <c r="N4979" s="3"/>
      <c r="Q4979" s="3"/>
      <c r="R4979" s="3"/>
      <c r="S4979" s="3"/>
      <c r="V4979" s="3"/>
      <c r="W4979" s="3"/>
      <c r="X4979" s="3"/>
      <c r="Y4979" s="3"/>
      <c r="Z4979" s="3"/>
      <c r="AA4979" s="3"/>
      <c r="AB4979" s="3"/>
    </row>
    <row r="4980" spans="1:28" x14ac:dyDescent="0.3">
      <c r="A4980" s="2"/>
      <c r="F4980" s="3"/>
      <c r="G4980" s="3"/>
      <c r="N4980" s="3"/>
      <c r="Q4980" s="3"/>
      <c r="R4980" s="3"/>
      <c r="S4980" s="3"/>
      <c r="V4980" s="3"/>
      <c r="W4980" s="3"/>
      <c r="X4980" s="3"/>
      <c r="Y4980" s="3"/>
      <c r="Z4980" s="3"/>
      <c r="AA4980" s="3"/>
      <c r="AB4980" s="3"/>
    </row>
    <row r="4981" spans="1:28" x14ac:dyDescent="0.3">
      <c r="A4981" s="2"/>
      <c r="F4981" s="3"/>
      <c r="G4981" s="3"/>
      <c r="N4981" s="3"/>
      <c r="Q4981" s="3"/>
      <c r="R4981" s="3"/>
      <c r="S4981" s="3"/>
      <c r="V4981" s="3"/>
      <c r="W4981" s="3"/>
      <c r="X4981" s="3"/>
      <c r="Y4981" s="3"/>
      <c r="Z4981" s="3"/>
      <c r="AA4981" s="3"/>
      <c r="AB4981" s="3"/>
    </row>
    <row r="4982" spans="1:28" x14ac:dyDescent="0.3">
      <c r="A4982" s="2"/>
      <c r="F4982" s="3"/>
      <c r="G4982" s="3"/>
      <c r="N4982" s="3"/>
      <c r="Q4982" s="3"/>
      <c r="R4982" s="3"/>
      <c r="S4982" s="3"/>
      <c r="V4982" s="3"/>
      <c r="W4982" s="3"/>
      <c r="X4982" s="3"/>
      <c r="Y4982" s="3"/>
      <c r="Z4982" s="3"/>
      <c r="AA4982" s="3"/>
      <c r="AB4982" s="3"/>
    </row>
    <row r="4983" spans="1:28" x14ac:dyDescent="0.3">
      <c r="A4983" s="2"/>
      <c r="F4983" s="3"/>
      <c r="G4983" s="3"/>
      <c r="N4983" s="3"/>
      <c r="Q4983" s="3"/>
      <c r="R4983" s="3"/>
      <c r="S4983" s="3"/>
      <c r="V4983" s="3"/>
      <c r="W4983" s="3"/>
      <c r="X4983" s="3"/>
      <c r="Y4983" s="3"/>
      <c r="Z4983" s="3"/>
      <c r="AA4983" s="3"/>
      <c r="AB4983" s="3"/>
    </row>
    <row r="4984" spans="1:28" x14ac:dyDescent="0.3">
      <c r="A4984" s="2"/>
      <c r="F4984" s="3"/>
      <c r="G4984" s="3"/>
      <c r="N4984" s="3"/>
      <c r="Q4984" s="3"/>
      <c r="R4984" s="3"/>
      <c r="S4984" s="3"/>
      <c r="V4984" s="3"/>
      <c r="W4984" s="3"/>
      <c r="X4984" s="3"/>
      <c r="Y4984" s="3"/>
      <c r="Z4984" s="3"/>
      <c r="AA4984" s="3"/>
      <c r="AB4984" s="3"/>
    </row>
    <row r="4985" spans="1:28" x14ac:dyDescent="0.3">
      <c r="A4985" s="2"/>
      <c r="F4985" s="3"/>
      <c r="G4985" s="3"/>
      <c r="N4985" s="3"/>
      <c r="Q4985" s="3"/>
      <c r="R4985" s="3"/>
      <c r="S4985" s="3"/>
      <c r="V4985" s="3"/>
      <c r="W4985" s="3"/>
      <c r="X4985" s="3"/>
      <c r="Y4985" s="3"/>
      <c r="Z4985" s="3"/>
      <c r="AA4985" s="3"/>
      <c r="AB4985" s="3"/>
    </row>
    <row r="4986" spans="1:28" x14ac:dyDescent="0.3">
      <c r="A4986" s="2"/>
      <c r="F4986" s="3"/>
      <c r="G4986" s="3"/>
      <c r="N4986" s="3"/>
      <c r="Q4986" s="3"/>
      <c r="R4986" s="3"/>
      <c r="S4986" s="3"/>
      <c r="V4986" s="3"/>
      <c r="W4986" s="3"/>
      <c r="X4986" s="3"/>
      <c r="Y4986" s="3"/>
      <c r="Z4986" s="3"/>
      <c r="AA4986" s="3"/>
      <c r="AB4986" s="3"/>
    </row>
    <row r="4987" spans="1:28" x14ac:dyDescent="0.3">
      <c r="A4987" s="2"/>
      <c r="F4987" s="3"/>
      <c r="G4987" s="3"/>
      <c r="N4987" s="3"/>
      <c r="Q4987" s="3"/>
      <c r="R4987" s="3"/>
      <c r="S4987" s="3"/>
      <c r="V4987" s="3"/>
      <c r="W4987" s="3"/>
      <c r="X4987" s="3"/>
      <c r="Y4987" s="3"/>
      <c r="Z4987" s="3"/>
      <c r="AA4987" s="3"/>
      <c r="AB4987" s="3"/>
    </row>
    <row r="4988" spans="1:28" x14ac:dyDescent="0.3">
      <c r="A4988" s="2"/>
      <c r="F4988" s="3"/>
      <c r="G4988" s="3"/>
      <c r="N4988" s="3"/>
      <c r="Q4988" s="3"/>
      <c r="R4988" s="3"/>
      <c r="S4988" s="3"/>
      <c r="V4988" s="3"/>
      <c r="W4988" s="3"/>
      <c r="X4988" s="3"/>
      <c r="Y4988" s="3"/>
      <c r="Z4988" s="3"/>
      <c r="AA4988" s="3"/>
      <c r="AB4988" s="3"/>
    </row>
    <row r="4989" spans="1:28" x14ac:dyDescent="0.3">
      <c r="A4989" s="2"/>
      <c r="F4989" s="3"/>
      <c r="G4989" s="3"/>
      <c r="N4989" s="3"/>
      <c r="Q4989" s="3"/>
      <c r="R4989" s="3"/>
      <c r="S4989" s="3"/>
      <c r="V4989" s="3"/>
      <c r="W4989" s="3"/>
      <c r="X4989" s="3"/>
      <c r="Y4989" s="3"/>
      <c r="Z4989" s="3"/>
      <c r="AA4989" s="3"/>
      <c r="AB4989" s="3"/>
    </row>
    <row r="4990" spans="1:28" x14ac:dyDescent="0.3">
      <c r="A4990" s="2"/>
      <c r="F4990" s="3"/>
      <c r="G4990" s="3"/>
      <c r="N4990" s="3"/>
      <c r="Q4990" s="3"/>
      <c r="R4990" s="3"/>
      <c r="S4990" s="3"/>
      <c r="V4990" s="3"/>
      <c r="W4990" s="3"/>
      <c r="X4990" s="3"/>
      <c r="Y4990" s="3"/>
      <c r="Z4990" s="3"/>
      <c r="AA4990" s="3"/>
      <c r="AB4990" s="3"/>
    </row>
    <row r="4991" spans="1:28" x14ac:dyDescent="0.3">
      <c r="A4991" s="2"/>
      <c r="F4991" s="3"/>
      <c r="G4991" s="3"/>
      <c r="N4991" s="3"/>
      <c r="Q4991" s="3"/>
      <c r="R4991" s="3"/>
      <c r="S4991" s="3"/>
      <c r="V4991" s="3"/>
      <c r="W4991" s="3"/>
      <c r="X4991" s="3"/>
      <c r="Y4991" s="3"/>
      <c r="Z4991" s="3"/>
      <c r="AA4991" s="3"/>
      <c r="AB4991" s="3"/>
    </row>
    <row r="4992" spans="1:28" x14ac:dyDescent="0.3">
      <c r="A4992" s="2"/>
      <c r="F4992" s="3"/>
      <c r="G4992" s="3"/>
      <c r="N4992" s="3"/>
      <c r="Q4992" s="3"/>
      <c r="R4992" s="3"/>
      <c r="S4992" s="3"/>
      <c r="V4992" s="3"/>
      <c r="W4992" s="3"/>
      <c r="X4992" s="3"/>
      <c r="Y4992" s="3"/>
      <c r="Z4992" s="3"/>
      <c r="AA4992" s="3"/>
      <c r="AB4992" s="3"/>
    </row>
    <row r="4993" spans="1:28" x14ac:dyDescent="0.3">
      <c r="A4993" s="2"/>
      <c r="F4993" s="3"/>
      <c r="G4993" s="3"/>
      <c r="N4993" s="3"/>
      <c r="Q4993" s="3"/>
      <c r="R4993" s="3"/>
      <c r="S4993" s="3"/>
      <c r="V4993" s="3"/>
      <c r="W4993" s="3"/>
      <c r="X4993" s="3"/>
      <c r="Y4993" s="3"/>
      <c r="Z4993" s="3"/>
      <c r="AA4993" s="3"/>
      <c r="AB4993" s="3"/>
    </row>
    <row r="4994" spans="1:28" x14ac:dyDescent="0.3">
      <c r="A4994" s="2"/>
      <c r="F4994" s="3"/>
      <c r="G4994" s="3"/>
      <c r="N4994" s="3"/>
      <c r="Q4994" s="3"/>
      <c r="R4994" s="3"/>
      <c r="S4994" s="3"/>
      <c r="V4994" s="3"/>
      <c r="W4994" s="3"/>
      <c r="X4994" s="3"/>
      <c r="Y4994" s="3"/>
      <c r="Z4994" s="3"/>
      <c r="AA4994" s="3"/>
      <c r="AB4994" s="3"/>
    </row>
    <row r="4995" spans="1:28" x14ac:dyDescent="0.3">
      <c r="A4995" s="2"/>
      <c r="F4995" s="3"/>
      <c r="G4995" s="3"/>
      <c r="N4995" s="3"/>
      <c r="Q4995" s="3"/>
      <c r="R4995" s="3"/>
      <c r="S4995" s="3"/>
      <c r="V4995" s="3"/>
      <c r="W4995" s="3"/>
      <c r="X4995" s="3"/>
      <c r="Y4995" s="3"/>
      <c r="Z4995" s="3"/>
      <c r="AA4995" s="3"/>
      <c r="AB4995" s="3"/>
    </row>
    <row r="4996" spans="1:28" x14ac:dyDescent="0.3">
      <c r="A4996" s="2"/>
      <c r="F4996" s="3"/>
      <c r="G4996" s="3"/>
      <c r="N4996" s="3"/>
      <c r="Q4996" s="3"/>
      <c r="R4996" s="3"/>
      <c r="S4996" s="3"/>
      <c r="V4996" s="3"/>
      <c r="W4996" s="3"/>
      <c r="X4996" s="3"/>
      <c r="Y4996" s="3"/>
      <c r="Z4996" s="3"/>
      <c r="AA4996" s="3"/>
      <c r="AB4996" s="3"/>
    </row>
    <row r="4997" spans="1:28" x14ac:dyDescent="0.3">
      <c r="A4997" s="2"/>
      <c r="F4997" s="3"/>
      <c r="G4997" s="3"/>
      <c r="N4997" s="3"/>
      <c r="Q4997" s="3"/>
      <c r="R4997" s="3"/>
      <c r="S4997" s="3"/>
      <c r="V4997" s="3"/>
      <c r="W4997" s="3"/>
      <c r="X4997" s="3"/>
      <c r="Y4997" s="3"/>
      <c r="Z4997" s="3"/>
      <c r="AA4997" s="3"/>
      <c r="AB4997" s="3"/>
    </row>
    <row r="4998" spans="1:28" x14ac:dyDescent="0.3">
      <c r="A4998" s="2"/>
      <c r="F4998" s="3"/>
      <c r="G4998" s="3"/>
      <c r="N4998" s="3"/>
      <c r="Q4998" s="3"/>
      <c r="R4998" s="3"/>
      <c r="S4998" s="3"/>
      <c r="V4998" s="3"/>
      <c r="W4998" s="3"/>
      <c r="X4998" s="3"/>
      <c r="Y4998" s="3"/>
      <c r="Z4998" s="3"/>
      <c r="AA4998" s="3"/>
      <c r="AB4998" s="3"/>
    </row>
    <row r="4999" spans="1:28" x14ac:dyDescent="0.3">
      <c r="A4999" s="2"/>
      <c r="F4999" s="3"/>
      <c r="G4999" s="3"/>
      <c r="N4999" s="3"/>
      <c r="Q4999" s="3"/>
      <c r="R4999" s="3"/>
      <c r="S4999" s="3"/>
      <c r="V4999" s="3"/>
      <c r="W4999" s="3"/>
      <c r="X4999" s="3"/>
      <c r="Y4999" s="3"/>
      <c r="Z4999" s="3"/>
      <c r="AA4999" s="3"/>
      <c r="AB4999" s="3"/>
    </row>
    <row r="5000" spans="1:28" x14ac:dyDescent="0.3">
      <c r="A5000" s="2"/>
      <c r="F5000" s="3"/>
      <c r="G5000" s="3"/>
      <c r="N5000" s="3"/>
      <c r="Q5000" s="3"/>
      <c r="R5000" s="3"/>
      <c r="S5000" s="3"/>
      <c r="V5000" s="3"/>
      <c r="W5000" s="3"/>
      <c r="X5000" s="3"/>
      <c r="Y5000" s="3"/>
      <c r="Z5000" s="3"/>
      <c r="AA5000" s="3"/>
      <c r="AB5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0"/>
  <sheetViews>
    <sheetView workbookViewId="0"/>
  </sheetViews>
  <sheetFormatPr baseColWidth="10" defaultColWidth="8.88671875" defaultRowHeight="14.4" x14ac:dyDescent="0.3"/>
  <sheetData>
    <row r="1" spans="1:9" x14ac:dyDescent="0.3">
      <c r="A1" s="1" t="s">
        <v>2868</v>
      </c>
      <c r="B1" s="1" t="s">
        <v>14</v>
      </c>
      <c r="C1" s="1" t="s">
        <v>2869</v>
      </c>
      <c r="D1" s="1" t="s">
        <v>2870</v>
      </c>
      <c r="E1" s="1" t="s">
        <v>2871</v>
      </c>
      <c r="F1" s="1" t="s">
        <v>2872</v>
      </c>
      <c r="G1" s="1" t="s">
        <v>2873</v>
      </c>
      <c r="H1" s="1" t="s">
        <v>2874</v>
      </c>
      <c r="I1" s="1" t="s">
        <v>2875</v>
      </c>
    </row>
    <row r="2" spans="1:9" x14ac:dyDescent="0.3">
      <c r="A2" s="2" t="str">
        <f>HYPERLINK("https://www.pcpacanada.ca/negotiation/21627", "Givlaari  (givosiran)")</f>
        <v>Givlaari  (givosiran)</v>
      </c>
      <c r="B2" t="s">
        <v>2876</v>
      </c>
      <c r="C2" t="s">
        <v>2877</v>
      </c>
      <c r="D2" t="s">
        <v>2878</v>
      </c>
      <c r="E2" t="s">
        <v>2879</v>
      </c>
      <c r="F2" t="s">
        <v>2876</v>
      </c>
      <c r="G2" t="s">
        <v>999</v>
      </c>
      <c r="H2" s="3" t="s">
        <v>2880</v>
      </c>
      <c r="I2" s="3" t="s">
        <v>2880</v>
      </c>
    </row>
    <row r="3" spans="1:9" x14ac:dyDescent="0.3">
      <c r="A3" s="2" t="str">
        <f>HYPERLINK("https://www.pcpacanada.ca/negotiation/21621", "Xeomin  (incobotulinumtoxinA)")</f>
        <v>Xeomin  (incobotulinumtoxinA)</v>
      </c>
      <c r="B3" t="s">
        <v>2881</v>
      </c>
      <c r="C3" t="s">
        <v>2877</v>
      </c>
      <c r="D3" t="s">
        <v>2882</v>
      </c>
      <c r="E3" t="s">
        <v>2883</v>
      </c>
      <c r="F3" t="s">
        <v>2881</v>
      </c>
      <c r="G3" t="s">
        <v>2716</v>
      </c>
      <c r="H3" s="3" t="s">
        <v>2880</v>
      </c>
      <c r="I3" s="3" t="s">
        <v>2880</v>
      </c>
    </row>
    <row r="4" spans="1:9" x14ac:dyDescent="0.3">
      <c r="A4" s="2" t="str">
        <f>HYPERLINK("https://www.pcpacanada.ca/negotiation/21615", "Perseris  (risperidone)")</f>
        <v>Perseris  (risperidone)</v>
      </c>
      <c r="B4" t="s">
        <v>1857</v>
      </c>
      <c r="C4" t="s">
        <v>2877</v>
      </c>
      <c r="D4" t="s">
        <v>38</v>
      </c>
      <c r="E4" t="s">
        <v>2884</v>
      </c>
      <c r="F4" t="s">
        <v>1857</v>
      </c>
      <c r="G4" t="s">
        <v>1856</v>
      </c>
      <c r="H4" s="3" t="s">
        <v>2880</v>
      </c>
      <c r="I4" s="3" t="s">
        <v>2880</v>
      </c>
    </row>
    <row r="5" spans="1:9" x14ac:dyDescent="0.3">
      <c r="A5" s="2" t="str">
        <f>HYPERLINK("https://www.pcpacanada.ca/negotiation/21608", "Inqovi  (Decitabine-Cedazuridine)")</f>
        <v>Inqovi  (Decitabine-Cedazuridine)</v>
      </c>
      <c r="B5" t="s">
        <v>1162</v>
      </c>
      <c r="C5" t="s">
        <v>2877</v>
      </c>
      <c r="D5" t="s">
        <v>2885</v>
      </c>
      <c r="E5" t="s">
        <v>2886</v>
      </c>
      <c r="F5" t="s">
        <v>1162</v>
      </c>
      <c r="G5" t="s">
        <v>1160</v>
      </c>
      <c r="H5" s="3" t="s">
        <v>2880</v>
      </c>
      <c r="I5" s="3" t="s">
        <v>2880</v>
      </c>
    </row>
    <row r="6" spans="1:9" x14ac:dyDescent="0.3">
      <c r="A6" s="2" t="str">
        <f>HYPERLINK("https://www.pcpacanada.ca/negotiation/21602", "Saxenda  (liraglutide)")</f>
        <v>Saxenda  (liraglutide)</v>
      </c>
      <c r="B6" t="s">
        <v>1433</v>
      </c>
      <c r="C6" t="s">
        <v>2877</v>
      </c>
      <c r="D6" t="s">
        <v>2887</v>
      </c>
      <c r="E6" t="s">
        <v>2888</v>
      </c>
      <c r="F6" t="s">
        <v>1433</v>
      </c>
      <c r="G6" t="s">
        <v>2108</v>
      </c>
      <c r="H6" s="3" t="s">
        <v>2880</v>
      </c>
      <c r="I6" s="3" t="s">
        <v>2880</v>
      </c>
    </row>
    <row r="7" spans="1:9" x14ac:dyDescent="0.3">
      <c r="A7" s="2" t="str">
        <f>HYPERLINK("https://www.pcpacanada.ca/negotiation/21598", "Vitrakvi  (larotrectinib)")</f>
        <v>Vitrakvi  (larotrectinib)</v>
      </c>
      <c r="B7" t="s">
        <v>146</v>
      </c>
      <c r="C7" t="s">
        <v>2877</v>
      </c>
      <c r="D7" t="s">
        <v>2889</v>
      </c>
      <c r="E7" t="s">
        <v>2890</v>
      </c>
      <c r="F7" t="s">
        <v>146</v>
      </c>
      <c r="G7" t="s">
        <v>2622</v>
      </c>
      <c r="H7" s="3" t="s">
        <v>2880</v>
      </c>
      <c r="I7" s="3" t="s">
        <v>2880</v>
      </c>
    </row>
    <row r="8" spans="1:9" x14ac:dyDescent="0.3">
      <c r="A8" s="2" t="str">
        <f>HYPERLINK("https://www.pcpacanada.ca/negotiation/21595", "Breztri Aerosphere  (budesonide/glycopyrronium/ formeterol fumarate dihydrate)")</f>
        <v>Breztri Aerosphere  (budesonide/glycopyrronium/ formeterol fumarate dihydrate)</v>
      </c>
      <c r="B8" t="s">
        <v>2891</v>
      </c>
      <c r="C8" t="s">
        <v>2877</v>
      </c>
      <c r="D8" t="s">
        <v>2488</v>
      </c>
      <c r="E8" t="s">
        <v>2892</v>
      </c>
      <c r="F8" t="s">
        <v>2891</v>
      </c>
      <c r="G8" t="s">
        <v>464</v>
      </c>
      <c r="H8" s="3" t="s">
        <v>2880</v>
      </c>
      <c r="I8" s="3" t="s">
        <v>2880</v>
      </c>
    </row>
    <row r="9" spans="1:9" x14ac:dyDescent="0.3">
      <c r="A9" s="2" t="str">
        <f>HYPERLINK("https://www.pcpacanada.ca/negotiation/21591", "Trikafta  (elexacaftor/tezacaftor/ivacaftor and ivacaftor)")</f>
        <v>Trikafta  (elexacaftor/tezacaftor/ivacaftor and ivacaftor)</v>
      </c>
      <c r="B9" t="s">
        <v>1279</v>
      </c>
      <c r="C9" t="s">
        <v>2893</v>
      </c>
      <c r="D9" t="s">
        <v>1798</v>
      </c>
      <c r="E9" t="s">
        <v>2894</v>
      </c>
      <c r="F9" t="s">
        <v>1279</v>
      </c>
      <c r="G9" t="s">
        <v>2462</v>
      </c>
      <c r="H9" s="3">
        <v>44456</v>
      </c>
      <c r="I9" s="3">
        <v>44456</v>
      </c>
    </row>
    <row r="10" spans="1:9" x14ac:dyDescent="0.3">
      <c r="A10" s="2" t="str">
        <f>HYPERLINK("https://www.pcpacanada.ca/negotiation/21588", "Vyxeos   (daunorubicin and cytarabine)")</f>
        <v>Vyxeos   (daunorubicin and cytarabine)</v>
      </c>
      <c r="B10" t="s">
        <v>2662</v>
      </c>
      <c r="C10" t="s">
        <v>2877</v>
      </c>
      <c r="D10" t="s">
        <v>2895</v>
      </c>
      <c r="E10" t="s">
        <v>2896</v>
      </c>
      <c r="F10" t="s">
        <v>2662</v>
      </c>
      <c r="G10" t="s">
        <v>2661</v>
      </c>
      <c r="H10" s="3" t="s">
        <v>2880</v>
      </c>
      <c r="I10" s="3" t="s">
        <v>2880</v>
      </c>
    </row>
    <row r="11" spans="1:9" x14ac:dyDescent="0.3">
      <c r="A11" s="2" t="str">
        <f>HYPERLINK("https://www.pcpacanada.ca/negotiation/21582", "Tecartus  (brexucabtagene autoleucel)")</f>
        <v>Tecartus  (brexucabtagene autoleucel)</v>
      </c>
      <c r="B11" t="s">
        <v>539</v>
      </c>
      <c r="C11" t="s">
        <v>2877</v>
      </c>
      <c r="D11" t="s">
        <v>2897</v>
      </c>
      <c r="E11" t="s">
        <v>2898</v>
      </c>
      <c r="F11" t="s">
        <v>539</v>
      </c>
      <c r="G11" t="s">
        <v>2371</v>
      </c>
      <c r="H11" s="3" t="s">
        <v>2880</v>
      </c>
      <c r="I11" s="3" t="s">
        <v>2880</v>
      </c>
    </row>
    <row r="12" spans="1:9" x14ac:dyDescent="0.3">
      <c r="A12" s="2" t="str">
        <f>HYPERLINK("https://www.pcpacanada.ca/negotiation/21578", "Evrysdi  (risdiplam)")</f>
        <v>Evrysdi  (risdiplam)</v>
      </c>
      <c r="B12" t="s">
        <v>2899</v>
      </c>
      <c r="C12" t="s">
        <v>2900</v>
      </c>
      <c r="D12" t="s">
        <v>2170</v>
      </c>
      <c r="E12" t="s">
        <v>2901</v>
      </c>
      <c r="F12" t="s">
        <v>2899</v>
      </c>
      <c r="G12" t="s">
        <v>864</v>
      </c>
      <c r="H12" s="3">
        <v>44435</v>
      </c>
      <c r="I12" s="3" t="s">
        <v>2880</v>
      </c>
    </row>
    <row r="13" spans="1:9" x14ac:dyDescent="0.3">
      <c r="A13" s="2" t="str">
        <f>HYPERLINK("https://www.pcpacanada.ca/negotiation/21574", "Rinvoq  (upadacitinib)")</f>
        <v>Rinvoq  (upadacitinib)</v>
      </c>
      <c r="B13" t="s">
        <v>725</v>
      </c>
      <c r="C13" t="s">
        <v>2877</v>
      </c>
      <c r="D13" t="s">
        <v>2902</v>
      </c>
      <c r="E13" t="s">
        <v>2903</v>
      </c>
      <c r="F13" t="s">
        <v>725</v>
      </c>
      <c r="G13" t="s">
        <v>2057</v>
      </c>
      <c r="H13" s="3" t="s">
        <v>2880</v>
      </c>
      <c r="I13" s="3" t="s">
        <v>2880</v>
      </c>
    </row>
    <row r="14" spans="1:9" x14ac:dyDescent="0.3">
      <c r="A14" s="2" t="str">
        <f>HYPERLINK("https://www.pcpacanada.ca/negotiation/21571", "Entuzity KwikPen  (human insulin)")</f>
        <v>Entuzity KwikPen  (human insulin)</v>
      </c>
      <c r="B14" t="s">
        <v>133</v>
      </c>
      <c r="C14" t="s">
        <v>2877</v>
      </c>
      <c r="D14" t="s">
        <v>2904</v>
      </c>
      <c r="E14" t="s">
        <v>2905</v>
      </c>
      <c r="F14" t="s">
        <v>133</v>
      </c>
      <c r="G14" t="s">
        <v>814</v>
      </c>
      <c r="H14" s="3" t="s">
        <v>2880</v>
      </c>
      <c r="I14" s="3" t="s">
        <v>2880</v>
      </c>
    </row>
    <row r="15" spans="1:9" x14ac:dyDescent="0.3">
      <c r="A15" s="2" t="str">
        <f>HYPERLINK("https://www.pcpacanada.ca/negotiation/21567", "Jorveza  (budesonide)")</f>
        <v>Jorveza  (budesonide)</v>
      </c>
      <c r="B15" t="s">
        <v>622</v>
      </c>
      <c r="C15" t="s">
        <v>2877</v>
      </c>
      <c r="D15" t="s">
        <v>2906</v>
      </c>
      <c r="E15" t="s">
        <v>2907</v>
      </c>
      <c r="F15" t="s">
        <v>622</v>
      </c>
      <c r="G15" t="s">
        <v>1245</v>
      </c>
      <c r="H15" s="3" t="s">
        <v>2880</v>
      </c>
      <c r="I15" s="3" t="s">
        <v>2880</v>
      </c>
    </row>
    <row r="16" spans="1:9" x14ac:dyDescent="0.3">
      <c r="A16" s="2" t="str">
        <f>HYPERLINK("https://www.pcpacanada.ca/negotiation/21564", "Venclexta  (venetoclax)")</f>
        <v>Venclexta  (venetoclax)</v>
      </c>
      <c r="B16" t="s">
        <v>725</v>
      </c>
      <c r="C16" t="s">
        <v>2908</v>
      </c>
      <c r="D16" t="s">
        <v>2909</v>
      </c>
      <c r="E16" t="s">
        <v>2910</v>
      </c>
      <c r="F16" t="s">
        <v>725</v>
      </c>
      <c r="G16" t="s">
        <v>2570</v>
      </c>
      <c r="H16" s="3" t="s">
        <v>2880</v>
      </c>
      <c r="I16" s="3">
        <v>44467</v>
      </c>
    </row>
    <row r="17" spans="1:9" x14ac:dyDescent="0.3">
      <c r="A17" s="2" t="str">
        <f>HYPERLINK("https://www.pcpacanada.ca/negotiation/21561", "Venclexta  (venetoclax)")</f>
        <v>Venclexta  (venetoclax)</v>
      </c>
      <c r="B17" t="s">
        <v>725</v>
      </c>
      <c r="C17" t="s">
        <v>2900</v>
      </c>
      <c r="D17" t="s">
        <v>2911</v>
      </c>
      <c r="E17" t="s">
        <v>2912</v>
      </c>
      <c r="F17" t="s">
        <v>725</v>
      </c>
      <c r="G17" t="s">
        <v>2561</v>
      </c>
      <c r="H17" s="3">
        <v>44468</v>
      </c>
      <c r="I17" s="3" t="s">
        <v>2880</v>
      </c>
    </row>
    <row r="18" spans="1:9" x14ac:dyDescent="0.3">
      <c r="A18" s="2" t="str">
        <f>HYPERLINK("https://www.pcpacanada.ca/negotiation/21558", "Entresto  (sacubitril/valsartan)")</f>
        <v>Entresto  (sacubitril/valsartan)</v>
      </c>
      <c r="B18" t="s">
        <v>71</v>
      </c>
      <c r="C18" t="s">
        <v>2900</v>
      </c>
      <c r="D18" t="s">
        <v>806</v>
      </c>
      <c r="E18" t="s">
        <v>2913</v>
      </c>
      <c r="F18" t="s">
        <v>71</v>
      </c>
      <c r="G18" t="s">
        <v>2880</v>
      </c>
      <c r="H18" s="3">
        <v>44428</v>
      </c>
      <c r="I18" s="3" t="s">
        <v>2880</v>
      </c>
    </row>
    <row r="19" spans="1:9" x14ac:dyDescent="0.3">
      <c r="A19" s="2" t="str">
        <f>HYPERLINK("https://www.pcpacanada.ca/negotiation/21557", "Opdivo-Yervoy  (nivolumab-ipilimumab)")</f>
        <v>Opdivo-Yervoy  (nivolumab-ipilimumab)</v>
      </c>
      <c r="B19" t="s">
        <v>658</v>
      </c>
      <c r="C19" t="s">
        <v>2877</v>
      </c>
      <c r="D19" t="s">
        <v>2914</v>
      </c>
      <c r="E19" t="s">
        <v>2915</v>
      </c>
      <c r="F19" t="s">
        <v>658</v>
      </c>
      <c r="G19" t="s">
        <v>1775</v>
      </c>
      <c r="H19" s="3" t="s">
        <v>2880</v>
      </c>
      <c r="I19" s="3" t="s">
        <v>2880</v>
      </c>
    </row>
    <row r="20" spans="1:9" x14ac:dyDescent="0.3">
      <c r="A20" s="2" t="str">
        <f>HYPERLINK("https://www.pcpacanada.ca/negotiation/21553", "Keytruda  (pembrolizumab)")</f>
        <v>Keytruda  (pembrolizumab)</v>
      </c>
      <c r="B20" t="s">
        <v>289</v>
      </c>
      <c r="C20" t="s">
        <v>2893</v>
      </c>
      <c r="D20" t="s">
        <v>2916</v>
      </c>
      <c r="E20" t="s">
        <v>2917</v>
      </c>
      <c r="F20" t="s">
        <v>289</v>
      </c>
      <c r="G20" t="s">
        <v>1326</v>
      </c>
      <c r="H20" s="3">
        <v>44419</v>
      </c>
      <c r="I20" s="3">
        <v>44419</v>
      </c>
    </row>
    <row r="21" spans="1:9" x14ac:dyDescent="0.3">
      <c r="A21" s="2" t="str">
        <f>HYPERLINK("https://www.pcpacanada.ca/negotiation/21550", "Imfinzi  (durvalumab)")</f>
        <v>Imfinzi  (durvalumab)</v>
      </c>
      <c r="B21" t="s">
        <v>465</v>
      </c>
      <c r="C21" t="s">
        <v>2877</v>
      </c>
      <c r="D21" t="s">
        <v>2918</v>
      </c>
      <c r="E21" t="s">
        <v>2919</v>
      </c>
      <c r="F21" t="s">
        <v>465</v>
      </c>
      <c r="G21" t="s">
        <v>1124</v>
      </c>
      <c r="H21" s="3" t="s">
        <v>2880</v>
      </c>
      <c r="I21" s="3" t="s">
        <v>2880</v>
      </c>
    </row>
    <row r="22" spans="1:9" x14ac:dyDescent="0.3">
      <c r="A22" s="2" t="str">
        <f>HYPERLINK("https://www.pcpacanada.ca/negotiation/21548", "Braftovi  (encorafenib)")</f>
        <v>Braftovi  (encorafenib)</v>
      </c>
      <c r="B22" t="s">
        <v>2920</v>
      </c>
      <c r="C22" t="s">
        <v>2877</v>
      </c>
      <c r="D22" t="s">
        <v>2921</v>
      </c>
      <c r="E22" t="s">
        <v>2922</v>
      </c>
      <c r="F22" t="s">
        <v>2920</v>
      </c>
      <c r="G22" t="s">
        <v>444</v>
      </c>
      <c r="H22" s="3" t="s">
        <v>2880</v>
      </c>
      <c r="I22" s="3" t="s">
        <v>2880</v>
      </c>
    </row>
    <row r="23" spans="1:9" x14ac:dyDescent="0.3">
      <c r="A23" s="2" t="str">
        <f>HYPERLINK("https://www.pcpacanada.ca/negotiation/21544", "Braftovi/Mektovi  (encorfenib/binimetinib)")</f>
        <v>Braftovi/Mektovi  (encorfenib/binimetinib)</v>
      </c>
      <c r="B23" t="s">
        <v>2923</v>
      </c>
      <c r="C23" t="s">
        <v>2877</v>
      </c>
      <c r="D23" t="s">
        <v>2924</v>
      </c>
      <c r="E23" t="s">
        <v>2925</v>
      </c>
      <c r="F23" t="s">
        <v>2923</v>
      </c>
      <c r="G23" t="s">
        <v>448</v>
      </c>
      <c r="H23" s="3" t="s">
        <v>2880</v>
      </c>
      <c r="I23" s="3" t="s">
        <v>2880</v>
      </c>
    </row>
    <row r="24" spans="1:9" x14ac:dyDescent="0.3">
      <c r="A24" s="2" t="str">
        <f>HYPERLINK("https://www.pcpacanada.ca/negotiation/21540", "Unituxin  (dinutuximab)")</f>
        <v>Unituxin  (dinutuximab)</v>
      </c>
      <c r="B24" t="s">
        <v>2926</v>
      </c>
      <c r="C24" t="s">
        <v>2877</v>
      </c>
      <c r="D24" t="s">
        <v>2927</v>
      </c>
      <c r="E24" t="s">
        <v>2928</v>
      </c>
      <c r="F24" t="s">
        <v>2926</v>
      </c>
      <c r="G24" t="s">
        <v>2523</v>
      </c>
      <c r="H24" s="3" t="s">
        <v>2880</v>
      </c>
      <c r="I24" s="3" t="s">
        <v>2880</v>
      </c>
    </row>
    <row r="25" spans="1:9" x14ac:dyDescent="0.3">
      <c r="A25" s="2" t="str">
        <f>HYPERLINK("https://www.pcpacanada.ca/negotiation/21527", "Inrebic  (fedrantinib)")</f>
        <v>Inrebic  (fedrantinib)</v>
      </c>
      <c r="B25" t="s">
        <v>61</v>
      </c>
      <c r="C25" t="s">
        <v>2877</v>
      </c>
      <c r="D25" t="s">
        <v>2929</v>
      </c>
      <c r="E25" t="s">
        <v>2930</v>
      </c>
      <c r="F25" t="s">
        <v>61</v>
      </c>
      <c r="G25" t="s">
        <v>1165</v>
      </c>
      <c r="H25" s="3" t="s">
        <v>2880</v>
      </c>
      <c r="I25" s="3" t="s">
        <v>2880</v>
      </c>
    </row>
    <row r="26" spans="1:9" x14ac:dyDescent="0.3">
      <c r="A26" s="2" t="str">
        <f>HYPERLINK("https://www.pcpacanada.ca/negotiation/21521", "Zeposia  (ozanimod)")</f>
        <v>Zeposia  (ozanimod)</v>
      </c>
      <c r="B26" t="s">
        <v>61</v>
      </c>
      <c r="C26" t="s">
        <v>2908</v>
      </c>
      <c r="D26" t="s">
        <v>2931</v>
      </c>
      <c r="E26" t="s">
        <v>2932</v>
      </c>
      <c r="F26" t="s">
        <v>61</v>
      </c>
      <c r="G26" t="s">
        <v>2819</v>
      </c>
      <c r="H26" s="3" t="s">
        <v>2880</v>
      </c>
      <c r="I26" s="3">
        <v>44406</v>
      </c>
    </row>
    <row r="27" spans="1:9" x14ac:dyDescent="0.3">
      <c r="A27" s="2" t="str">
        <f>HYPERLINK("https://www.pcpacanada.ca/negotiation/21518", "Rybelsus  (semaglutide)")</f>
        <v>Rybelsus  (semaglutide)</v>
      </c>
      <c r="B27" t="s">
        <v>1433</v>
      </c>
      <c r="C27" t="s">
        <v>2877</v>
      </c>
      <c r="D27" t="s">
        <v>1192</v>
      </c>
      <c r="E27" t="s">
        <v>2933</v>
      </c>
      <c r="F27" t="s">
        <v>1433</v>
      </c>
      <c r="G27" t="s">
        <v>2079</v>
      </c>
      <c r="H27" s="3" t="s">
        <v>2880</v>
      </c>
      <c r="I27" s="3" t="s">
        <v>2880</v>
      </c>
    </row>
    <row r="28" spans="1:9" x14ac:dyDescent="0.3">
      <c r="A28" s="2" t="str">
        <f>HYPERLINK("https://www.pcpacanada.ca/negotiation/21515", "Insulin pumps and pump supplies  (Insulin pumps and pump supplies)")</f>
        <v>Insulin pumps and pump supplies  (Insulin pumps and pump supplies)</v>
      </c>
      <c r="B28" t="s">
        <v>2934</v>
      </c>
      <c r="C28" t="s">
        <v>2900</v>
      </c>
      <c r="D28" t="s">
        <v>2904</v>
      </c>
      <c r="E28" t="s">
        <v>2935</v>
      </c>
      <c r="F28" t="s">
        <v>2934</v>
      </c>
      <c r="G28" t="s">
        <v>2880</v>
      </c>
      <c r="H28" s="3">
        <v>44376</v>
      </c>
      <c r="I28" s="3" t="s">
        <v>2880</v>
      </c>
    </row>
    <row r="29" spans="1:9" x14ac:dyDescent="0.3">
      <c r="A29" s="2" t="str">
        <f>HYPERLINK("https://www.pcpacanada.ca/negotiation/21512", "Veltassa  (patiromer)")</f>
        <v>Veltassa  (patiromer)</v>
      </c>
      <c r="B29" t="s">
        <v>2551</v>
      </c>
      <c r="C29" t="s">
        <v>2877</v>
      </c>
      <c r="D29" t="s">
        <v>2936</v>
      </c>
      <c r="E29" t="s">
        <v>2937</v>
      </c>
      <c r="F29" t="s">
        <v>2551</v>
      </c>
      <c r="G29" t="s">
        <v>2550</v>
      </c>
      <c r="H29" s="3" t="s">
        <v>2880</v>
      </c>
      <c r="I29" s="3" t="s">
        <v>2880</v>
      </c>
    </row>
    <row r="30" spans="1:9" x14ac:dyDescent="0.3">
      <c r="A30" s="2" t="str">
        <f>HYPERLINK("https://www.pcpacanada.ca/negotiation/21506", "Reblozyl  (luspatercept)")</f>
        <v>Reblozyl  (luspatercept)</v>
      </c>
      <c r="B30" t="s">
        <v>61</v>
      </c>
      <c r="C30" t="s">
        <v>2877</v>
      </c>
      <c r="D30" t="s">
        <v>2938</v>
      </c>
      <c r="E30" t="s">
        <v>2939</v>
      </c>
      <c r="F30" t="s">
        <v>61</v>
      </c>
      <c r="G30" t="s">
        <v>2940</v>
      </c>
      <c r="H30" s="3" t="s">
        <v>2880</v>
      </c>
      <c r="I30" s="3" t="s">
        <v>2880</v>
      </c>
    </row>
    <row r="31" spans="1:9" x14ac:dyDescent="0.3">
      <c r="A31" s="2" t="str">
        <f>HYPERLINK("https://www.pcpacanada.ca/negotiation/21501", "Dupixent  (dupilumab)")</f>
        <v>Dupixent  (dupilumab)</v>
      </c>
      <c r="B31" t="s">
        <v>535</v>
      </c>
      <c r="C31" t="s">
        <v>2877</v>
      </c>
      <c r="D31" t="s">
        <v>164</v>
      </c>
      <c r="E31" t="s">
        <v>2941</v>
      </c>
      <c r="F31" t="s">
        <v>535</v>
      </c>
      <c r="G31" t="s">
        <v>730</v>
      </c>
      <c r="H31" s="3" t="s">
        <v>2880</v>
      </c>
      <c r="I31" s="3" t="s">
        <v>2880</v>
      </c>
    </row>
    <row r="32" spans="1:9" x14ac:dyDescent="0.3">
      <c r="A32" s="2" t="str">
        <f>HYPERLINK("https://www.pcpacanada.ca/negotiation/21500", "Tafinlar/Mekinist  (dabrafenib/trametinib)")</f>
        <v>Tafinlar/Mekinist  (dabrafenib/trametinib)</v>
      </c>
      <c r="B32" t="s">
        <v>71</v>
      </c>
      <c r="C32" t="s">
        <v>2900</v>
      </c>
      <c r="D32" t="s">
        <v>2942</v>
      </c>
      <c r="E32" t="s">
        <v>2943</v>
      </c>
      <c r="F32" t="s">
        <v>71</v>
      </c>
      <c r="G32" t="s">
        <v>2254</v>
      </c>
      <c r="H32" s="3">
        <v>44449</v>
      </c>
      <c r="I32" s="3" t="s">
        <v>2880</v>
      </c>
    </row>
    <row r="33" spans="1:9" x14ac:dyDescent="0.3">
      <c r="A33" s="2" t="str">
        <f>HYPERLINK("https://www.pcpacanada.ca/negotiation/21496", "Ilumya  (tildrakizumab)")</f>
        <v>Ilumya  (tildrakizumab)</v>
      </c>
      <c r="B33" t="s">
        <v>1676</v>
      </c>
      <c r="C33" t="s">
        <v>2900</v>
      </c>
      <c r="D33" t="s">
        <v>558</v>
      </c>
      <c r="E33" t="s">
        <v>2944</v>
      </c>
      <c r="F33" t="s">
        <v>1676</v>
      </c>
      <c r="G33" t="s">
        <v>1096</v>
      </c>
      <c r="H33" s="3">
        <v>44456</v>
      </c>
      <c r="I33" s="3" t="s">
        <v>2880</v>
      </c>
    </row>
    <row r="34" spans="1:9" x14ac:dyDescent="0.3">
      <c r="A34" s="2" t="str">
        <f>HYPERLINK("https://www.pcpacanada.ca/negotiation/21489", "Corzyna  (ranolazine)")</f>
        <v>Corzyna  (ranolazine)</v>
      </c>
      <c r="B34" t="s">
        <v>2945</v>
      </c>
      <c r="C34" t="s">
        <v>2877</v>
      </c>
      <c r="D34" t="s">
        <v>2946</v>
      </c>
      <c r="E34" t="s">
        <v>2947</v>
      </c>
      <c r="F34" t="s">
        <v>2945</v>
      </c>
      <c r="G34" t="s">
        <v>604</v>
      </c>
      <c r="H34" s="3" t="s">
        <v>2880</v>
      </c>
      <c r="I34" s="3" t="s">
        <v>2880</v>
      </c>
    </row>
    <row r="35" spans="1:9" x14ac:dyDescent="0.3">
      <c r="A35" s="2" t="str">
        <f>HYPERLINK("https://www.pcpacanada.ca/negotiation/21484", "Zejula  (Niraparib)")</f>
        <v>Zejula  (Niraparib)</v>
      </c>
      <c r="B35" t="s">
        <v>259</v>
      </c>
      <c r="C35" t="s">
        <v>2893</v>
      </c>
      <c r="D35" t="s">
        <v>2948</v>
      </c>
      <c r="E35" t="s">
        <v>2949</v>
      </c>
      <c r="F35" t="s">
        <v>259</v>
      </c>
      <c r="G35" t="s">
        <v>2800</v>
      </c>
      <c r="H35" s="3">
        <v>44348</v>
      </c>
      <c r="I35" s="3">
        <v>44419</v>
      </c>
    </row>
    <row r="36" spans="1:9" x14ac:dyDescent="0.3">
      <c r="A36" s="2" t="str">
        <f>HYPERLINK("https://www.pcpacanada.ca/negotiation/21480", "Odomzo  (sonidegib)")</f>
        <v>Odomzo  (sonidegib)</v>
      </c>
      <c r="B36" t="s">
        <v>1676</v>
      </c>
      <c r="C36" t="s">
        <v>2908</v>
      </c>
      <c r="D36" t="s">
        <v>2950</v>
      </c>
      <c r="E36" t="s">
        <v>2951</v>
      </c>
      <c r="F36" t="s">
        <v>1676</v>
      </c>
      <c r="G36" t="s">
        <v>1674</v>
      </c>
      <c r="H36" s="3" t="s">
        <v>2880</v>
      </c>
      <c r="I36" s="3">
        <v>44351</v>
      </c>
    </row>
    <row r="37" spans="1:9" x14ac:dyDescent="0.3">
      <c r="A37" s="2" t="str">
        <f>HYPERLINK("https://www.pcpacanada.ca/negotiation/21474", "Bambevi  (bevacizumab)")</f>
        <v>Bambevi  (bevacizumab)</v>
      </c>
      <c r="B37" t="s">
        <v>1010</v>
      </c>
      <c r="C37" t="s">
        <v>2893</v>
      </c>
      <c r="D37" t="s">
        <v>2952</v>
      </c>
      <c r="E37" t="s">
        <v>2953</v>
      </c>
      <c r="F37" t="s">
        <v>1010</v>
      </c>
      <c r="G37" t="s">
        <v>2880</v>
      </c>
      <c r="H37" s="3">
        <v>44358</v>
      </c>
      <c r="I37" s="3">
        <v>44426</v>
      </c>
    </row>
    <row r="38" spans="1:9" x14ac:dyDescent="0.3">
      <c r="A38" s="2" t="str">
        <f>HYPERLINK("https://www.pcpacanada.ca/negotiation/21471", "Polivy  (Polatuzumab Vedotin)")</f>
        <v>Polivy  (Polatuzumab Vedotin)</v>
      </c>
      <c r="B38" t="s">
        <v>2899</v>
      </c>
      <c r="C38" t="s">
        <v>2900</v>
      </c>
      <c r="D38" t="s">
        <v>2954</v>
      </c>
      <c r="E38" t="s">
        <v>2955</v>
      </c>
      <c r="F38" t="s">
        <v>2899</v>
      </c>
      <c r="G38" t="s">
        <v>1877</v>
      </c>
      <c r="H38" s="3">
        <v>44398</v>
      </c>
      <c r="I38" s="3" t="s">
        <v>2880</v>
      </c>
    </row>
    <row r="39" spans="1:9" x14ac:dyDescent="0.3">
      <c r="A39" s="2" t="str">
        <f>HYPERLINK("https://www.pcpacanada.ca/negotiation/21467", "Alunbrig  (brigatinib)")</f>
        <v>Alunbrig  (brigatinib)</v>
      </c>
      <c r="B39" t="s">
        <v>243</v>
      </c>
      <c r="C39" t="s">
        <v>2877</v>
      </c>
      <c r="D39" t="s">
        <v>2956</v>
      </c>
      <c r="E39" t="s">
        <v>2957</v>
      </c>
      <c r="F39" t="s">
        <v>243</v>
      </c>
      <c r="G39" t="s">
        <v>245</v>
      </c>
      <c r="H39" s="3" t="s">
        <v>2880</v>
      </c>
      <c r="I39" s="3" t="s">
        <v>2880</v>
      </c>
    </row>
    <row r="40" spans="1:9" x14ac:dyDescent="0.3">
      <c r="A40" s="2" t="str">
        <f>HYPERLINK("https://www.pcpacanada.ca/negotiation/21464", "Lynparza  (olaparib)")</f>
        <v>Lynparza  (olaparib)</v>
      </c>
      <c r="B40" t="s">
        <v>465</v>
      </c>
      <c r="C40" t="s">
        <v>2900</v>
      </c>
      <c r="D40" t="s">
        <v>2958</v>
      </c>
      <c r="E40" t="s">
        <v>2959</v>
      </c>
      <c r="F40" t="s">
        <v>465</v>
      </c>
      <c r="G40" t="s">
        <v>1514</v>
      </c>
      <c r="H40" s="3">
        <v>44384</v>
      </c>
      <c r="I40" s="3" t="s">
        <v>2880</v>
      </c>
    </row>
    <row r="41" spans="1:9" x14ac:dyDescent="0.3">
      <c r="A41" s="2" t="str">
        <f>HYPERLINK("https://www.pcpacanada.ca/negotiation/21461", "Rozlytrek  (Entrectinib)")</f>
        <v>Rozlytrek  (Entrectinib)</v>
      </c>
      <c r="B41" t="s">
        <v>2899</v>
      </c>
      <c r="C41" t="s">
        <v>2893</v>
      </c>
      <c r="D41" t="s">
        <v>2960</v>
      </c>
      <c r="E41" t="s">
        <v>2961</v>
      </c>
      <c r="F41" t="s">
        <v>2899</v>
      </c>
      <c r="G41" t="s">
        <v>2962</v>
      </c>
      <c r="H41" s="3">
        <v>44320</v>
      </c>
      <c r="I41" s="3">
        <v>44383</v>
      </c>
    </row>
    <row r="42" spans="1:9" x14ac:dyDescent="0.3">
      <c r="A42" s="2" t="str">
        <f>HYPERLINK("https://www.pcpacanada.ca/negotiation/21457", "Ruzurgi  (Amifampridine)")</f>
        <v>Ruzurgi  (Amifampridine)</v>
      </c>
      <c r="B42" t="s">
        <v>2078</v>
      </c>
      <c r="C42" t="s">
        <v>2877</v>
      </c>
      <c r="D42" t="s">
        <v>2963</v>
      </c>
      <c r="E42" t="s">
        <v>2964</v>
      </c>
      <c r="F42" t="s">
        <v>2078</v>
      </c>
      <c r="G42" t="s">
        <v>2077</v>
      </c>
      <c r="H42" s="3" t="s">
        <v>2880</v>
      </c>
      <c r="I42" s="3" t="s">
        <v>2880</v>
      </c>
    </row>
    <row r="43" spans="1:9" x14ac:dyDescent="0.3">
      <c r="A43" s="2" t="str">
        <f>HYPERLINK("https://www.pcpacanada.ca/negotiation/21451", "Enspryng  (satralizumab)")</f>
        <v>Enspryng  (satralizumab)</v>
      </c>
      <c r="B43" t="s">
        <v>2965</v>
      </c>
      <c r="C43" t="s">
        <v>2900</v>
      </c>
      <c r="D43" t="s">
        <v>2966</v>
      </c>
      <c r="E43" t="s">
        <v>2967</v>
      </c>
      <c r="F43" t="s">
        <v>2965</v>
      </c>
      <c r="G43" t="s">
        <v>804</v>
      </c>
      <c r="H43" s="3">
        <v>44377</v>
      </c>
      <c r="I43" s="3" t="s">
        <v>2880</v>
      </c>
    </row>
    <row r="44" spans="1:9" x14ac:dyDescent="0.3">
      <c r="A44" s="2" t="str">
        <f>HYPERLINK("https://www.pcpacanada.ca/negotiation/21447", "Osnuvo  (teriparatide)")</f>
        <v>Osnuvo  (teriparatide)</v>
      </c>
      <c r="B44" t="s">
        <v>622</v>
      </c>
      <c r="C44" t="s">
        <v>2893</v>
      </c>
      <c r="D44" t="s">
        <v>2968</v>
      </c>
      <c r="E44" t="s">
        <v>2969</v>
      </c>
      <c r="F44" t="s">
        <v>622</v>
      </c>
      <c r="G44" t="s">
        <v>2880</v>
      </c>
      <c r="H44" s="3">
        <v>44351</v>
      </c>
      <c r="I44" s="3">
        <v>44454</v>
      </c>
    </row>
    <row r="45" spans="1:9" x14ac:dyDescent="0.3">
      <c r="A45" s="2" t="str">
        <f>HYPERLINK("https://www.pcpacanada.ca/negotiation/21444", "Sarclisa  (Isatuximab)")</f>
        <v>Sarclisa  (Isatuximab)</v>
      </c>
      <c r="B45" t="s">
        <v>535</v>
      </c>
      <c r="C45" t="s">
        <v>2877</v>
      </c>
      <c r="D45" t="s">
        <v>663</v>
      </c>
      <c r="E45" t="s">
        <v>2970</v>
      </c>
      <c r="F45" t="s">
        <v>535</v>
      </c>
      <c r="G45" t="s">
        <v>2096</v>
      </c>
      <c r="H45" s="3" t="s">
        <v>2880</v>
      </c>
      <c r="I45" s="3" t="s">
        <v>2880</v>
      </c>
    </row>
    <row r="46" spans="1:9" x14ac:dyDescent="0.3">
      <c r="A46" s="2" t="str">
        <f>HYPERLINK("https://www.pcpacanada.ca/negotiation/21440", "Remsima SC  (infliximab)")</f>
        <v>Remsima SC  (infliximab)</v>
      </c>
      <c r="B46" t="s">
        <v>2971</v>
      </c>
      <c r="C46" t="s">
        <v>2900</v>
      </c>
      <c r="D46" t="s">
        <v>2972</v>
      </c>
      <c r="E46" t="s">
        <v>2973</v>
      </c>
      <c r="F46" t="s">
        <v>2971</v>
      </c>
      <c r="G46" t="s">
        <v>1994</v>
      </c>
      <c r="H46" s="3">
        <v>44351</v>
      </c>
      <c r="I46" s="3" t="s">
        <v>2880</v>
      </c>
    </row>
    <row r="47" spans="1:9" x14ac:dyDescent="0.3">
      <c r="A47" s="2" t="str">
        <f>HYPERLINK("https://www.pcpacanada.ca/negotiation/21437", "Abevmy  (bevacizumab)")</f>
        <v>Abevmy  (bevacizumab)</v>
      </c>
      <c r="B47" t="s">
        <v>1687</v>
      </c>
      <c r="C47" t="s">
        <v>2900</v>
      </c>
      <c r="D47" t="s">
        <v>2974</v>
      </c>
      <c r="E47" t="s">
        <v>2975</v>
      </c>
      <c r="F47" t="s">
        <v>1687</v>
      </c>
      <c r="G47" t="s">
        <v>2880</v>
      </c>
      <c r="H47" s="3">
        <v>44358</v>
      </c>
      <c r="I47" s="3" t="s">
        <v>2880</v>
      </c>
    </row>
    <row r="48" spans="1:9" x14ac:dyDescent="0.3">
      <c r="A48" s="2" t="str">
        <f>HYPERLINK("https://www.pcpacanada.ca/negotiation/21433", "Bavencio  (avelumab)")</f>
        <v>Bavencio  (avelumab)</v>
      </c>
      <c r="B48" t="s">
        <v>2976</v>
      </c>
      <c r="C48" t="s">
        <v>2900</v>
      </c>
      <c r="D48" t="s">
        <v>365</v>
      </c>
      <c r="E48" t="s">
        <v>2977</v>
      </c>
      <c r="F48" t="s">
        <v>2976</v>
      </c>
      <c r="G48" t="s">
        <v>2978</v>
      </c>
      <c r="H48" s="3">
        <v>44399</v>
      </c>
      <c r="I48" s="3" t="s">
        <v>2880</v>
      </c>
    </row>
    <row r="49" spans="1:9" x14ac:dyDescent="0.3">
      <c r="A49" s="2" t="str">
        <f>HYPERLINK("https://www.pcpacanada.ca/negotiation/21431", "Ajovy  (fremanezumab)")</f>
        <v>Ajovy  (fremanezumab)</v>
      </c>
      <c r="B49" t="s">
        <v>2979</v>
      </c>
      <c r="C49" t="s">
        <v>2900</v>
      </c>
      <c r="D49" t="s">
        <v>2980</v>
      </c>
      <c r="E49" t="s">
        <v>2981</v>
      </c>
      <c r="F49" t="s">
        <v>2979</v>
      </c>
      <c r="G49" t="s">
        <v>191</v>
      </c>
      <c r="H49" s="3">
        <v>44393</v>
      </c>
      <c r="I49" s="3" t="s">
        <v>2880</v>
      </c>
    </row>
    <row r="50" spans="1:9" x14ac:dyDescent="0.3">
      <c r="A50" s="2" t="str">
        <f>HYPERLINK("https://www.pcpacanada.ca/negotiation/21427", "Opdivo-Yervoy  (nivolumab-ipilimumab)")</f>
        <v>Opdivo-Yervoy  (nivolumab-ipilimumab)</v>
      </c>
      <c r="B50" t="s">
        <v>658</v>
      </c>
      <c r="C50" t="s">
        <v>2877</v>
      </c>
      <c r="D50" t="s">
        <v>2982</v>
      </c>
      <c r="E50" t="s">
        <v>2983</v>
      </c>
      <c r="F50" t="s">
        <v>658</v>
      </c>
      <c r="G50" t="s">
        <v>1768</v>
      </c>
      <c r="H50" s="3" t="s">
        <v>2880</v>
      </c>
      <c r="I50" s="3" t="s">
        <v>2880</v>
      </c>
    </row>
    <row r="51" spans="1:9" x14ac:dyDescent="0.3">
      <c r="A51" s="2" t="str">
        <f>HYPERLINK("https://www.pcpacanada.ca/negotiation/21423", "Entresto  (sacubitril/valsartan)")</f>
        <v>Entresto  (sacubitril/valsartan)</v>
      </c>
      <c r="B51" t="s">
        <v>71</v>
      </c>
      <c r="C51" t="s">
        <v>2877</v>
      </c>
      <c r="D51" t="s">
        <v>806</v>
      </c>
      <c r="E51" t="s">
        <v>2984</v>
      </c>
      <c r="F51" t="s">
        <v>71</v>
      </c>
      <c r="G51" t="s">
        <v>810</v>
      </c>
      <c r="H51" s="3" t="s">
        <v>2880</v>
      </c>
      <c r="I51" s="3" t="s">
        <v>2880</v>
      </c>
    </row>
    <row r="52" spans="1:9" x14ac:dyDescent="0.3">
      <c r="A52" s="2" t="str">
        <f>HYPERLINK("https://www.pcpacanada.ca/negotiation/21416", "Calquence  (Acalabrutinib)")</f>
        <v>Calquence  (Acalabrutinib)</v>
      </c>
      <c r="B52" t="s">
        <v>2891</v>
      </c>
      <c r="C52" t="s">
        <v>2893</v>
      </c>
      <c r="D52" t="s">
        <v>2985</v>
      </c>
      <c r="E52" t="s">
        <v>2986</v>
      </c>
      <c r="F52" t="s">
        <v>2891</v>
      </c>
      <c r="G52" t="s">
        <v>519</v>
      </c>
      <c r="H52" s="3">
        <v>44343</v>
      </c>
      <c r="I52" s="3">
        <v>44474</v>
      </c>
    </row>
    <row r="53" spans="1:9" x14ac:dyDescent="0.3">
      <c r="A53" s="2" t="str">
        <f>HYPERLINK("https://www.pcpacanada.ca/negotiation/21413", "Calquence  (Acalabrutinib)")</f>
        <v>Calquence  (Acalabrutinib)</v>
      </c>
      <c r="B53" t="s">
        <v>2891</v>
      </c>
      <c r="C53" t="s">
        <v>2893</v>
      </c>
      <c r="D53" t="s">
        <v>2987</v>
      </c>
      <c r="E53" t="s">
        <v>2988</v>
      </c>
      <c r="F53" t="s">
        <v>2891</v>
      </c>
      <c r="G53" t="s">
        <v>523</v>
      </c>
      <c r="H53" s="3">
        <v>44343</v>
      </c>
      <c r="I53" s="3">
        <v>44474</v>
      </c>
    </row>
    <row r="54" spans="1:9" x14ac:dyDescent="0.3">
      <c r="A54" s="2" t="str">
        <f>HYPERLINK("https://www.pcpacanada.ca/negotiation/21410", "Kynmobi  (apomorphine hydrochloride)")</f>
        <v>Kynmobi  (apomorphine hydrochloride)</v>
      </c>
      <c r="B54" t="s">
        <v>271</v>
      </c>
      <c r="C54" t="s">
        <v>2900</v>
      </c>
      <c r="D54" t="s">
        <v>2989</v>
      </c>
      <c r="E54" t="s">
        <v>2990</v>
      </c>
      <c r="F54" t="s">
        <v>271</v>
      </c>
      <c r="G54" t="s">
        <v>1372</v>
      </c>
      <c r="H54" s="3">
        <v>44442</v>
      </c>
      <c r="I54" s="3" t="s">
        <v>2880</v>
      </c>
    </row>
    <row r="55" spans="1:9" x14ac:dyDescent="0.3">
      <c r="A55" s="2" t="str">
        <f>HYPERLINK("https://www.pcpacanada.ca/negotiation/21407", "Kesimpta  (ofatumumab)")</f>
        <v>Kesimpta  (ofatumumab)</v>
      </c>
      <c r="B55" t="s">
        <v>71</v>
      </c>
      <c r="C55" t="s">
        <v>2900</v>
      </c>
      <c r="D55" t="s">
        <v>2931</v>
      </c>
      <c r="E55" t="s">
        <v>2991</v>
      </c>
      <c r="F55" t="s">
        <v>71</v>
      </c>
      <c r="G55" t="s">
        <v>1288</v>
      </c>
      <c r="H55" s="3">
        <v>44435</v>
      </c>
      <c r="I55" s="3" t="s">
        <v>2880</v>
      </c>
    </row>
    <row r="56" spans="1:9" x14ac:dyDescent="0.3">
      <c r="A56" s="2" t="str">
        <f>HYPERLINK("https://www.pcpacanada.ca/negotiation/21403", "Ofev  (nintedanib)")</f>
        <v>Ofev  (nintedanib)</v>
      </c>
      <c r="B56" t="s">
        <v>2992</v>
      </c>
      <c r="C56" t="s">
        <v>2900</v>
      </c>
      <c r="D56" t="s">
        <v>2993</v>
      </c>
      <c r="E56" t="s">
        <v>2994</v>
      </c>
      <c r="F56" t="s">
        <v>2992</v>
      </c>
      <c r="G56" t="s">
        <v>2995</v>
      </c>
      <c r="H56" s="3">
        <v>44393</v>
      </c>
      <c r="I56" s="3" t="s">
        <v>2880</v>
      </c>
    </row>
    <row r="57" spans="1:9" x14ac:dyDescent="0.3">
      <c r="A57" s="2" t="str">
        <f>HYPERLINK("https://www.pcpacanada.ca/negotiation/21400", "Darzalex SC  (Daratumumab )")</f>
        <v>Darzalex SC  (Daratumumab )</v>
      </c>
      <c r="B57" t="s">
        <v>665</v>
      </c>
      <c r="C57" t="s">
        <v>2900</v>
      </c>
      <c r="D57" t="s">
        <v>663</v>
      </c>
      <c r="E57" t="s">
        <v>2996</v>
      </c>
      <c r="F57" t="s">
        <v>665</v>
      </c>
      <c r="G57" t="s">
        <v>2880</v>
      </c>
      <c r="H57" s="3">
        <v>44253</v>
      </c>
      <c r="I57" s="3" t="s">
        <v>2880</v>
      </c>
    </row>
    <row r="58" spans="1:9" x14ac:dyDescent="0.3">
      <c r="A58" s="2" t="str">
        <f>HYPERLINK("https://www.pcpacanada.ca/negotiation/21399", "Daurismo  (Glasdegib)")</f>
        <v>Daurismo  (Glasdegib)</v>
      </c>
      <c r="B58" t="s">
        <v>2923</v>
      </c>
      <c r="C58" t="s">
        <v>2908</v>
      </c>
      <c r="D58" t="s">
        <v>683</v>
      </c>
      <c r="E58" t="s">
        <v>2997</v>
      </c>
      <c r="F58" t="s">
        <v>2923</v>
      </c>
      <c r="G58" t="s">
        <v>684</v>
      </c>
      <c r="H58" s="3" t="s">
        <v>2880</v>
      </c>
      <c r="I58" s="3">
        <v>44250</v>
      </c>
    </row>
    <row r="59" spans="1:9" x14ac:dyDescent="0.3">
      <c r="A59" s="2" t="str">
        <f>HYPERLINK("https://www.pcpacanada.ca/negotiation/21396", "pdp-levETIRAcetam  (levetiracetam)")</f>
        <v>pdp-levETIRAcetam  (levetiracetam)</v>
      </c>
      <c r="B59" t="s">
        <v>1003</v>
      </c>
      <c r="C59" t="s">
        <v>2877</v>
      </c>
      <c r="D59" t="s">
        <v>1829</v>
      </c>
      <c r="E59" t="s">
        <v>2998</v>
      </c>
      <c r="F59" t="s">
        <v>1003</v>
      </c>
      <c r="G59" t="s">
        <v>1830</v>
      </c>
      <c r="H59" s="3" t="s">
        <v>2880</v>
      </c>
      <c r="I59" s="3" t="s">
        <v>2880</v>
      </c>
    </row>
    <row r="60" spans="1:9" x14ac:dyDescent="0.3">
      <c r="A60" s="2" t="str">
        <f>HYPERLINK("https://www.pcpacanada.ca/negotiation/21392", "Zolgensma  (onasemnogene abeparvovec)")</f>
        <v>Zolgensma  (onasemnogene abeparvovec)</v>
      </c>
      <c r="B60" t="s">
        <v>71</v>
      </c>
      <c r="C60" t="s">
        <v>2900</v>
      </c>
      <c r="D60" t="s">
        <v>2170</v>
      </c>
      <c r="E60" t="s">
        <v>2999</v>
      </c>
      <c r="F60" t="s">
        <v>71</v>
      </c>
      <c r="G60" t="s">
        <v>2825</v>
      </c>
      <c r="H60" s="3">
        <v>44246</v>
      </c>
      <c r="I60" s="3" t="s">
        <v>2880</v>
      </c>
    </row>
    <row r="61" spans="1:9" x14ac:dyDescent="0.3">
      <c r="A61" s="2" t="str">
        <f>HYPERLINK("https://www.pcpacanada.ca/negotiation/21390", "Tecentriq and bevacizumab  (Atezolizumab &amp; Bevacizumab)")</f>
        <v>Tecentriq and bevacizumab  (Atezolizumab &amp; Bevacizumab)</v>
      </c>
      <c r="B61" t="s">
        <v>2899</v>
      </c>
      <c r="C61" t="s">
        <v>2900</v>
      </c>
      <c r="D61" t="s">
        <v>1420</v>
      </c>
      <c r="E61" t="s">
        <v>3000</v>
      </c>
      <c r="F61" t="s">
        <v>2899</v>
      </c>
      <c r="G61" t="s">
        <v>3001</v>
      </c>
      <c r="H61" s="3">
        <v>44281</v>
      </c>
      <c r="I61" s="3" t="s">
        <v>2880</v>
      </c>
    </row>
    <row r="62" spans="1:9" x14ac:dyDescent="0.3">
      <c r="A62" s="2" t="str">
        <f>HYPERLINK("https://www.pcpacanada.ca/negotiation/21386", "Keytruda  (pembrolizumab)")</f>
        <v>Keytruda  (pembrolizumab)</v>
      </c>
      <c r="B62" t="s">
        <v>289</v>
      </c>
      <c r="C62" t="s">
        <v>2893</v>
      </c>
      <c r="D62" t="s">
        <v>3002</v>
      </c>
      <c r="E62" t="s">
        <v>3003</v>
      </c>
      <c r="F62" t="s">
        <v>289</v>
      </c>
      <c r="G62" t="s">
        <v>3004</v>
      </c>
      <c r="H62" s="3">
        <v>44237</v>
      </c>
      <c r="I62" s="3">
        <v>44237</v>
      </c>
    </row>
    <row r="63" spans="1:9" x14ac:dyDescent="0.3">
      <c r="A63" s="2" t="str">
        <f>HYPERLINK("https://www.pcpacanada.ca/negotiation/21379", "Forxiga  (dapagliflozin)")</f>
        <v>Forxiga  (dapagliflozin)</v>
      </c>
      <c r="B63" t="s">
        <v>465</v>
      </c>
      <c r="C63" t="s">
        <v>2900</v>
      </c>
      <c r="D63" t="s">
        <v>806</v>
      </c>
      <c r="E63" t="s">
        <v>3005</v>
      </c>
      <c r="F63" t="s">
        <v>465</v>
      </c>
      <c r="G63" t="s">
        <v>939</v>
      </c>
      <c r="H63" s="3">
        <v>44364</v>
      </c>
      <c r="I63" s="3" t="s">
        <v>2880</v>
      </c>
    </row>
    <row r="64" spans="1:9" x14ac:dyDescent="0.3">
      <c r="A64" s="2" t="str">
        <f>HYPERLINK("https://www.pcpacanada.ca/negotiation/21377", "Entyvio (SC)  (vedolizumab)")</f>
        <v>Entyvio (SC)  (vedolizumab)</v>
      </c>
      <c r="B64" t="s">
        <v>243</v>
      </c>
      <c r="C64" t="s">
        <v>2893</v>
      </c>
      <c r="D64" t="s">
        <v>816</v>
      </c>
      <c r="E64" t="s">
        <v>3006</v>
      </c>
      <c r="F64" t="s">
        <v>243</v>
      </c>
      <c r="G64" t="s">
        <v>821</v>
      </c>
      <c r="H64" s="3">
        <v>44301</v>
      </c>
      <c r="I64" s="3">
        <v>44421</v>
      </c>
    </row>
    <row r="65" spans="1:9" x14ac:dyDescent="0.3">
      <c r="A65" s="2" t="str">
        <f>HYPERLINK("https://www.pcpacanada.ca/negotiation/21375", "Venclexta  (venetoclax)")</f>
        <v>Venclexta  (venetoclax)</v>
      </c>
      <c r="B65" t="s">
        <v>725</v>
      </c>
      <c r="C65" t="s">
        <v>2900</v>
      </c>
      <c r="D65" t="s">
        <v>3007</v>
      </c>
      <c r="E65" t="s">
        <v>3008</v>
      </c>
      <c r="F65" t="s">
        <v>725</v>
      </c>
      <c r="G65" t="s">
        <v>2564</v>
      </c>
      <c r="H65" s="3">
        <v>44250</v>
      </c>
      <c r="I65" s="3" t="s">
        <v>2880</v>
      </c>
    </row>
    <row r="66" spans="1:9" x14ac:dyDescent="0.3">
      <c r="A66" s="2" t="str">
        <f>HYPERLINK("https://www.pcpacanada.ca/negotiation/21373", "Adcetris  (brentuximab vedotin)")</f>
        <v>Adcetris  (brentuximab vedotin)</v>
      </c>
      <c r="B66" t="s">
        <v>116</v>
      </c>
      <c r="C66" t="s">
        <v>2893</v>
      </c>
      <c r="D66" t="s">
        <v>3009</v>
      </c>
      <c r="E66" t="s">
        <v>3010</v>
      </c>
      <c r="F66" t="s">
        <v>116</v>
      </c>
      <c r="G66" t="s">
        <v>3011</v>
      </c>
      <c r="H66" s="3">
        <v>44232</v>
      </c>
      <c r="I66" s="3">
        <v>44314</v>
      </c>
    </row>
    <row r="67" spans="1:9" x14ac:dyDescent="0.3">
      <c r="A67" s="2" t="str">
        <f>HYPERLINK("https://www.pcpacanada.ca/negotiation/21371", "Adcetris  (brentuximab vedotin)")</f>
        <v>Adcetris  (brentuximab vedotin)</v>
      </c>
      <c r="B67" t="s">
        <v>116</v>
      </c>
      <c r="C67" t="s">
        <v>2893</v>
      </c>
      <c r="D67" t="s">
        <v>3012</v>
      </c>
      <c r="E67" t="s">
        <v>3013</v>
      </c>
      <c r="F67" t="s">
        <v>116</v>
      </c>
      <c r="G67" t="s">
        <v>3014</v>
      </c>
      <c r="H67" s="3">
        <v>44232</v>
      </c>
      <c r="I67" s="3">
        <v>44314</v>
      </c>
    </row>
    <row r="68" spans="1:9" x14ac:dyDescent="0.3">
      <c r="A68" s="2" t="str">
        <f>HYPERLINK("https://www.pcpacanada.ca/negotiation/21368", "Spravato  (esketamine hydrochloride)")</f>
        <v>Spravato  (esketamine hydrochloride)</v>
      </c>
      <c r="B68" t="s">
        <v>3015</v>
      </c>
      <c r="C68" t="s">
        <v>2908</v>
      </c>
      <c r="D68" t="s">
        <v>3016</v>
      </c>
      <c r="E68" t="s">
        <v>3017</v>
      </c>
      <c r="F68" t="s">
        <v>3015</v>
      </c>
      <c r="G68" t="s">
        <v>2178</v>
      </c>
      <c r="H68" s="3" t="s">
        <v>2880</v>
      </c>
      <c r="I68" s="3">
        <v>44223</v>
      </c>
    </row>
    <row r="69" spans="1:9" x14ac:dyDescent="0.3">
      <c r="A69" s="2" t="str">
        <f>HYPERLINK("https://www.pcpacanada.ca/negotiation/21365", "Blincyto  (blinatumomab)")</f>
        <v>Blincyto  (blinatumomab)</v>
      </c>
      <c r="B69" t="s">
        <v>407</v>
      </c>
      <c r="C69" t="s">
        <v>2893</v>
      </c>
      <c r="D69" t="s">
        <v>3018</v>
      </c>
      <c r="E69" t="s">
        <v>3019</v>
      </c>
      <c r="F69" t="s">
        <v>407</v>
      </c>
      <c r="G69" t="s">
        <v>3020</v>
      </c>
      <c r="H69" s="3">
        <v>44182</v>
      </c>
      <c r="I69" s="3">
        <v>44337</v>
      </c>
    </row>
    <row r="70" spans="1:9" x14ac:dyDescent="0.3">
      <c r="A70" s="2" t="str">
        <f>HYPERLINK("https://www.pcpacanada.ca/negotiation/21362", "Riabni  (rituximab)")</f>
        <v>Riabni  (rituximab)</v>
      </c>
      <c r="B70" t="s">
        <v>407</v>
      </c>
      <c r="C70" t="s">
        <v>2900</v>
      </c>
      <c r="D70" t="s">
        <v>3021</v>
      </c>
      <c r="E70" t="s">
        <v>3022</v>
      </c>
      <c r="F70" t="s">
        <v>407</v>
      </c>
      <c r="G70" t="s">
        <v>2880</v>
      </c>
      <c r="H70" s="3">
        <v>44358</v>
      </c>
      <c r="I70" s="3" t="s">
        <v>2880</v>
      </c>
    </row>
    <row r="71" spans="1:9" x14ac:dyDescent="0.3">
      <c r="A71" s="2" t="str">
        <f>HYPERLINK("https://www.pcpacanada.ca/negotiation/21360", "Inclunox  (enoxaparin)")</f>
        <v>Inclunox  (enoxaparin)</v>
      </c>
      <c r="B71" t="s">
        <v>837</v>
      </c>
      <c r="C71" t="s">
        <v>2893</v>
      </c>
      <c r="D71" t="s">
        <v>3023</v>
      </c>
      <c r="E71" t="s">
        <v>3024</v>
      </c>
      <c r="F71" t="s">
        <v>837</v>
      </c>
      <c r="G71" t="s">
        <v>2880</v>
      </c>
      <c r="H71" s="3">
        <v>44224</v>
      </c>
      <c r="I71" s="3">
        <v>44301</v>
      </c>
    </row>
    <row r="72" spans="1:9" x14ac:dyDescent="0.3">
      <c r="A72" s="2" t="str">
        <f>HYPERLINK("https://www.pcpacanada.ca/negotiation/21358", "Noromby  (enoxaparin)")</f>
        <v>Noromby  (enoxaparin)</v>
      </c>
      <c r="B72" t="s">
        <v>3025</v>
      </c>
      <c r="C72" t="s">
        <v>2893</v>
      </c>
      <c r="D72" t="s">
        <v>3023</v>
      </c>
      <c r="E72" t="s">
        <v>3026</v>
      </c>
      <c r="F72" t="s">
        <v>3025</v>
      </c>
      <c r="G72" t="s">
        <v>2880</v>
      </c>
      <c r="H72" s="3">
        <v>44224</v>
      </c>
      <c r="I72" s="3">
        <v>44343</v>
      </c>
    </row>
    <row r="73" spans="1:9" x14ac:dyDescent="0.3">
      <c r="A73" s="2" t="str">
        <f>HYPERLINK("https://www.pcpacanada.ca/negotiation/21350", "Nyvepria  (pegfilgrastim)")</f>
        <v>Nyvepria  (pegfilgrastim)</v>
      </c>
      <c r="B73" t="s">
        <v>387</v>
      </c>
      <c r="C73" t="s">
        <v>2893</v>
      </c>
      <c r="D73" t="s">
        <v>3027</v>
      </c>
      <c r="E73" t="s">
        <v>3028</v>
      </c>
      <c r="F73" t="s">
        <v>387</v>
      </c>
      <c r="G73" t="s">
        <v>2880</v>
      </c>
      <c r="H73" s="3">
        <v>44209</v>
      </c>
      <c r="I73" s="3">
        <v>44291</v>
      </c>
    </row>
    <row r="74" spans="1:9" x14ac:dyDescent="0.3">
      <c r="A74" s="2" t="str">
        <f>HYPERLINK("https://www.pcpacanada.ca/negotiation/21348", "Trurapi  (insulin aspart)")</f>
        <v>Trurapi  (insulin aspart)</v>
      </c>
      <c r="B74" t="s">
        <v>3029</v>
      </c>
      <c r="C74" t="s">
        <v>2893</v>
      </c>
      <c r="D74" t="s">
        <v>2904</v>
      </c>
      <c r="E74" t="s">
        <v>3030</v>
      </c>
      <c r="F74" t="s">
        <v>3029</v>
      </c>
      <c r="G74" t="s">
        <v>2880</v>
      </c>
      <c r="H74" s="3">
        <v>44313</v>
      </c>
      <c r="I74" s="3">
        <v>44424</v>
      </c>
    </row>
    <row r="75" spans="1:9" x14ac:dyDescent="0.3">
      <c r="A75" s="2" t="str">
        <f>HYPERLINK("https://www.pcpacanada.ca/negotiation/21346", "Foquest  (methylphenidate)")</f>
        <v>Foquest  (methylphenidate)</v>
      </c>
      <c r="B75" t="s">
        <v>3031</v>
      </c>
      <c r="C75" t="s">
        <v>2893</v>
      </c>
      <c r="D75" t="s">
        <v>1182</v>
      </c>
      <c r="E75" t="s">
        <v>3032</v>
      </c>
      <c r="F75" t="s">
        <v>3031</v>
      </c>
      <c r="G75" t="s">
        <v>2880</v>
      </c>
      <c r="H75" s="3">
        <v>44376</v>
      </c>
      <c r="I75" s="3">
        <v>44376</v>
      </c>
    </row>
    <row r="76" spans="1:9" x14ac:dyDescent="0.3">
      <c r="A76" s="2" t="str">
        <f>HYPERLINK("https://www.pcpacanada.ca/negotiation/21343", "Suboxone (film)  (buprenorphine and naloxone)")</f>
        <v>Suboxone (film)  (buprenorphine and naloxone)</v>
      </c>
      <c r="B76" t="s">
        <v>3033</v>
      </c>
      <c r="C76" t="s">
        <v>2893</v>
      </c>
      <c r="D76" t="s">
        <v>3034</v>
      </c>
      <c r="E76" t="s">
        <v>3035</v>
      </c>
      <c r="F76" t="s">
        <v>3033</v>
      </c>
      <c r="G76" t="s">
        <v>2880</v>
      </c>
      <c r="H76" s="3">
        <v>44257</v>
      </c>
      <c r="I76" s="3">
        <v>44392</v>
      </c>
    </row>
    <row r="77" spans="1:9" x14ac:dyDescent="0.3">
      <c r="A77" s="2" t="str">
        <f>HYPERLINK("https://www.pcpacanada.ca/negotiation/21340", "Atectura Breezhaler  (indacaterol /mometasone furoate)")</f>
        <v>Atectura Breezhaler  (indacaterol /mometasone furoate)</v>
      </c>
      <c r="B77" t="s">
        <v>1730</v>
      </c>
      <c r="C77" t="s">
        <v>2893</v>
      </c>
      <c r="D77" t="s">
        <v>164</v>
      </c>
      <c r="E77" t="s">
        <v>3036</v>
      </c>
      <c r="F77" t="s">
        <v>1730</v>
      </c>
      <c r="G77" t="s">
        <v>292</v>
      </c>
      <c r="H77" s="3">
        <v>44370</v>
      </c>
      <c r="I77" s="3">
        <v>44469</v>
      </c>
    </row>
    <row r="78" spans="1:9" x14ac:dyDescent="0.3">
      <c r="A78" s="2" t="str">
        <f>HYPERLINK("https://www.pcpacanada.ca/negotiation/21337", "Enerzair Breezhaler  (indacaterol/glycopyrronium/mometasone furoate)")</f>
        <v>Enerzair Breezhaler  (indacaterol/glycopyrronium/mometasone furoate)</v>
      </c>
      <c r="B78" t="s">
        <v>1730</v>
      </c>
      <c r="C78" t="s">
        <v>2893</v>
      </c>
      <c r="D78" t="s">
        <v>164</v>
      </c>
      <c r="E78" t="s">
        <v>3037</v>
      </c>
      <c r="F78" t="s">
        <v>1730</v>
      </c>
      <c r="G78" t="s">
        <v>801</v>
      </c>
      <c r="H78" s="3">
        <v>44370</v>
      </c>
      <c r="I78" s="3">
        <v>44469</v>
      </c>
    </row>
    <row r="79" spans="1:9" x14ac:dyDescent="0.3">
      <c r="A79" s="2" t="str">
        <f>HYPERLINK("https://www.pcpacanada.ca/negotiation/21334", "Luxturna  (voretigene neparvovec)")</f>
        <v>Luxturna  (voretigene neparvovec)</v>
      </c>
      <c r="B79" t="s">
        <v>71</v>
      </c>
      <c r="C79" t="s">
        <v>2877</v>
      </c>
      <c r="D79" t="s">
        <v>3038</v>
      </c>
      <c r="E79" t="s">
        <v>3039</v>
      </c>
      <c r="F79" t="s">
        <v>71</v>
      </c>
      <c r="G79" t="s">
        <v>1502</v>
      </c>
      <c r="H79" s="3" t="s">
        <v>2880</v>
      </c>
      <c r="I79" s="3" t="s">
        <v>2880</v>
      </c>
    </row>
    <row r="80" spans="1:9" x14ac:dyDescent="0.3">
      <c r="A80" s="2" t="str">
        <f>HYPERLINK("https://www.pcpacanada.ca/negotiation/21329", "Blood glucose test strips  (blood glucose test strips)")</f>
        <v>Blood glucose test strips  (blood glucose test strips)</v>
      </c>
      <c r="B80" t="s">
        <v>2934</v>
      </c>
      <c r="C80" t="s">
        <v>2893</v>
      </c>
      <c r="D80" t="s">
        <v>2904</v>
      </c>
      <c r="E80" t="s">
        <v>3040</v>
      </c>
      <c r="F80" t="s">
        <v>2934</v>
      </c>
      <c r="G80" t="s">
        <v>2880</v>
      </c>
      <c r="H80" s="3">
        <v>44006</v>
      </c>
      <c r="I80" s="3">
        <v>44174</v>
      </c>
    </row>
    <row r="81" spans="1:9" x14ac:dyDescent="0.3">
      <c r="A81" s="2" t="str">
        <f>HYPERLINK("https://www.pcpacanada.ca/negotiation/21326", "Hadlima  (adalimumab)")</f>
        <v>Hadlima  (adalimumab)</v>
      </c>
      <c r="B81" t="s">
        <v>3041</v>
      </c>
      <c r="C81" t="s">
        <v>2893</v>
      </c>
      <c r="D81" t="s">
        <v>3042</v>
      </c>
      <c r="E81" t="s">
        <v>3043</v>
      </c>
      <c r="F81" t="s">
        <v>3041</v>
      </c>
      <c r="G81" t="s">
        <v>2880</v>
      </c>
      <c r="H81" s="3">
        <v>44144</v>
      </c>
      <c r="I81" s="3">
        <v>44218</v>
      </c>
    </row>
    <row r="82" spans="1:9" x14ac:dyDescent="0.3">
      <c r="A82" s="2" t="str">
        <f>HYPERLINK("https://www.pcpacanada.ca/negotiation/21324", "Idacio  (adalimumab)")</f>
        <v>Idacio  (adalimumab)</v>
      </c>
      <c r="B82" t="s">
        <v>3044</v>
      </c>
      <c r="C82" t="s">
        <v>2893</v>
      </c>
      <c r="D82" t="s">
        <v>3042</v>
      </c>
      <c r="E82" t="s">
        <v>3045</v>
      </c>
      <c r="F82" t="s">
        <v>3044</v>
      </c>
      <c r="G82" t="s">
        <v>2880</v>
      </c>
      <c r="H82" s="3">
        <v>44144</v>
      </c>
      <c r="I82" s="3">
        <v>44222</v>
      </c>
    </row>
    <row r="83" spans="1:9" x14ac:dyDescent="0.3">
      <c r="A83" s="2" t="str">
        <f>HYPERLINK("https://www.pcpacanada.ca/negotiation/21322", "Hyrimoz  (adalimumab)")</f>
        <v>Hyrimoz  (adalimumab)</v>
      </c>
      <c r="B83" t="s">
        <v>837</v>
      </c>
      <c r="C83" t="s">
        <v>2893</v>
      </c>
      <c r="D83" t="s">
        <v>3042</v>
      </c>
      <c r="E83" t="s">
        <v>3046</v>
      </c>
      <c r="F83" t="s">
        <v>837</v>
      </c>
      <c r="G83" t="s">
        <v>2880</v>
      </c>
      <c r="H83" s="3">
        <v>44144</v>
      </c>
      <c r="I83" s="3">
        <v>44216</v>
      </c>
    </row>
    <row r="84" spans="1:9" x14ac:dyDescent="0.3">
      <c r="A84" s="2" t="str">
        <f>HYPERLINK("https://www.pcpacanada.ca/negotiation/21320", "Amgevita  (adalimumab)")</f>
        <v>Amgevita  (adalimumab)</v>
      </c>
      <c r="B84" t="s">
        <v>3047</v>
      </c>
      <c r="C84" t="s">
        <v>2893</v>
      </c>
      <c r="D84" t="s">
        <v>3042</v>
      </c>
      <c r="E84" t="s">
        <v>3048</v>
      </c>
      <c r="F84" t="s">
        <v>3047</v>
      </c>
      <c r="G84" t="s">
        <v>2880</v>
      </c>
      <c r="H84" s="3">
        <v>44144</v>
      </c>
      <c r="I84" s="3">
        <v>44216</v>
      </c>
    </row>
    <row r="85" spans="1:9" x14ac:dyDescent="0.3">
      <c r="A85" s="2" t="str">
        <f>HYPERLINK("https://www.pcpacanada.ca/negotiation/21318", "Hulio  (adalimumab)")</f>
        <v>Hulio  (adalimumab)</v>
      </c>
      <c r="B85" t="s">
        <v>1687</v>
      </c>
      <c r="C85" t="s">
        <v>2893</v>
      </c>
      <c r="D85" t="s">
        <v>3042</v>
      </c>
      <c r="E85" t="s">
        <v>3049</v>
      </c>
      <c r="F85" t="s">
        <v>1687</v>
      </c>
      <c r="G85" t="s">
        <v>2880</v>
      </c>
      <c r="H85" s="3">
        <v>44144</v>
      </c>
      <c r="I85" s="3">
        <v>44216</v>
      </c>
    </row>
    <row r="86" spans="1:9" x14ac:dyDescent="0.3">
      <c r="A86" s="2" t="str">
        <f>HYPERLINK("https://www.pcpacanada.ca/negotiation/21316", "Jorveza  (budesonide)")</f>
        <v>Jorveza  (budesonide)</v>
      </c>
      <c r="B86" t="s">
        <v>622</v>
      </c>
      <c r="C86" t="s">
        <v>2877</v>
      </c>
      <c r="D86" t="s">
        <v>3050</v>
      </c>
      <c r="E86" t="s">
        <v>3051</v>
      </c>
      <c r="F86" t="s">
        <v>622</v>
      </c>
      <c r="G86" t="s">
        <v>1243</v>
      </c>
      <c r="H86" s="3" t="s">
        <v>2880</v>
      </c>
      <c r="I86" s="3" t="s">
        <v>2880</v>
      </c>
    </row>
    <row r="87" spans="1:9" x14ac:dyDescent="0.3">
      <c r="A87" s="2" t="str">
        <f>HYPERLINK("https://www.pcpacanada.ca/negotiation/21312", "Duobrii  (Halobetasol propionate and tazarotene)")</f>
        <v>Duobrii  (Halobetasol propionate and tazarotene)</v>
      </c>
      <c r="B87" t="s">
        <v>593</v>
      </c>
      <c r="C87" t="s">
        <v>2900</v>
      </c>
      <c r="D87" t="s">
        <v>558</v>
      </c>
      <c r="E87" t="s">
        <v>3052</v>
      </c>
      <c r="F87" t="s">
        <v>593</v>
      </c>
      <c r="G87" t="s">
        <v>719</v>
      </c>
      <c r="H87" s="3">
        <v>44456</v>
      </c>
      <c r="I87" s="3" t="s">
        <v>2880</v>
      </c>
    </row>
    <row r="88" spans="1:9" x14ac:dyDescent="0.3">
      <c r="A88" s="2" t="str">
        <f>HYPERLINK("https://www.pcpacanada.ca/negotiation/21309", "Nexplanon  (etonogestrel)")</f>
        <v>Nexplanon  (etonogestrel)</v>
      </c>
      <c r="B88" t="s">
        <v>3053</v>
      </c>
      <c r="C88" t="s">
        <v>2893</v>
      </c>
      <c r="D88" t="s">
        <v>3054</v>
      </c>
      <c r="E88" t="s">
        <v>3055</v>
      </c>
      <c r="F88" t="s">
        <v>3053</v>
      </c>
      <c r="G88" t="s">
        <v>1620</v>
      </c>
      <c r="H88" s="3">
        <v>44251</v>
      </c>
      <c r="I88" s="3">
        <v>44459</v>
      </c>
    </row>
    <row r="89" spans="1:9" x14ac:dyDescent="0.3">
      <c r="A89" s="2" t="str">
        <f>HYPERLINK("https://www.pcpacanada.ca/negotiation/21306", "Soliris  (eculizumab)")</f>
        <v>Soliris  (eculizumab)</v>
      </c>
      <c r="B89" t="s">
        <v>3056</v>
      </c>
      <c r="C89" t="s">
        <v>2900</v>
      </c>
      <c r="D89" t="s">
        <v>3057</v>
      </c>
      <c r="E89" t="s">
        <v>3058</v>
      </c>
      <c r="F89" t="s">
        <v>3056</v>
      </c>
      <c r="G89" t="s">
        <v>2150</v>
      </c>
      <c r="H89" s="3">
        <v>44287</v>
      </c>
      <c r="I89" s="3" t="s">
        <v>2880</v>
      </c>
    </row>
    <row r="90" spans="1:9" x14ac:dyDescent="0.3">
      <c r="A90" s="2" t="str">
        <f>HYPERLINK("https://www.pcpacanada.ca/negotiation/21304", "Zejula  (Niraparib)")</f>
        <v>Zejula  (Niraparib)</v>
      </c>
      <c r="B90" t="s">
        <v>259</v>
      </c>
      <c r="C90" t="s">
        <v>2893</v>
      </c>
      <c r="D90" t="s">
        <v>3059</v>
      </c>
      <c r="E90" t="s">
        <v>3060</v>
      </c>
      <c r="F90" t="s">
        <v>259</v>
      </c>
      <c r="G90" t="s">
        <v>3061</v>
      </c>
      <c r="H90" s="3">
        <v>44148</v>
      </c>
      <c r="I90" s="3">
        <v>44419</v>
      </c>
    </row>
    <row r="91" spans="1:9" x14ac:dyDescent="0.3">
      <c r="A91" s="2" t="str">
        <f>HYPERLINK("https://www.pcpacanada.ca/negotiation/21298", "Xtandi  (enzalutamide)")</f>
        <v>Xtandi  (enzalutamide)</v>
      </c>
      <c r="B91" t="s">
        <v>3062</v>
      </c>
      <c r="C91" t="s">
        <v>2893</v>
      </c>
      <c r="D91" t="s">
        <v>3063</v>
      </c>
      <c r="E91" t="s">
        <v>3064</v>
      </c>
      <c r="F91" t="s">
        <v>3062</v>
      </c>
      <c r="G91" t="s">
        <v>3065</v>
      </c>
      <c r="H91" s="3">
        <v>44134</v>
      </c>
      <c r="I91" s="3">
        <v>44407</v>
      </c>
    </row>
    <row r="92" spans="1:9" x14ac:dyDescent="0.3">
      <c r="A92" s="2" t="str">
        <f>HYPERLINK("https://www.pcpacanada.ca/negotiation/21295", "Cablivi  (caplacizumab)")</f>
        <v>Cablivi  (caplacizumab)</v>
      </c>
      <c r="B92" t="s">
        <v>3029</v>
      </c>
      <c r="C92" t="s">
        <v>2908</v>
      </c>
      <c r="D92" t="s">
        <v>3066</v>
      </c>
      <c r="E92" t="s">
        <v>3067</v>
      </c>
      <c r="F92" t="s">
        <v>3029</v>
      </c>
      <c r="G92" t="s">
        <v>503</v>
      </c>
      <c r="H92" s="3" t="s">
        <v>2880</v>
      </c>
      <c r="I92" s="3">
        <v>44127</v>
      </c>
    </row>
    <row r="93" spans="1:9" x14ac:dyDescent="0.3">
      <c r="A93" s="2" t="str">
        <f>HYPERLINK("https://www.pcpacanada.ca/negotiation/21290", "Rituxan SC  (rituximab)")</f>
        <v>Rituxan SC  (rituximab)</v>
      </c>
      <c r="B93" t="s">
        <v>3068</v>
      </c>
      <c r="C93" t="s">
        <v>2893</v>
      </c>
      <c r="D93" t="s">
        <v>3007</v>
      </c>
      <c r="E93" t="s">
        <v>3069</v>
      </c>
      <c r="F93" t="s">
        <v>3068</v>
      </c>
      <c r="G93" t="s">
        <v>2880</v>
      </c>
      <c r="H93" s="3">
        <v>44054</v>
      </c>
      <c r="I93" s="3">
        <v>44118</v>
      </c>
    </row>
    <row r="94" spans="1:9" x14ac:dyDescent="0.3">
      <c r="A94" s="2" t="str">
        <f>HYPERLINK("https://www.pcpacanada.ca/negotiation/21289", "Tecentriq &amp; Avastin  (Atezolizumab &amp; Bevacizumab)")</f>
        <v>Tecentriq &amp; Avastin  (Atezolizumab &amp; Bevacizumab)</v>
      </c>
      <c r="B94" t="s">
        <v>2899</v>
      </c>
      <c r="C94" t="s">
        <v>2908</v>
      </c>
      <c r="D94" t="s">
        <v>3070</v>
      </c>
      <c r="E94" t="s">
        <v>3071</v>
      </c>
      <c r="F94" t="s">
        <v>2899</v>
      </c>
      <c r="G94" t="s">
        <v>3072</v>
      </c>
      <c r="H94" s="3" t="s">
        <v>2880</v>
      </c>
      <c r="I94" s="3">
        <v>44075</v>
      </c>
    </row>
    <row r="95" spans="1:9" x14ac:dyDescent="0.3">
      <c r="A95" s="2" t="str">
        <f>HYPERLINK("https://www.pcpacanada.ca/negotiation/21286", "Aimovig  (erenumab)")</f>
        <v>Aimovig  (erenumab)</v>
      </c>
      <c r="B95" t="s">
        <v>3073</v>
      </c>
      <c r="C95" t="s">
        <v>2900</v>
      </c>
      <c r="D95" t="s">
        <v>3074</v>
      </c>
      <c r="E95" t="s">
        <v>3075</v>
      </c>
      <c r="F95" t="s">
        <v>3073</v>
      </c>
      <c r="G95" t="s">
        <v>188</v>
      </c>
      <c r="H95" s="3">
        <v>44221</v>
      </c>
      <c r="I95" s="3" t="s">
        <v>2880</v>
      </c>
    </row>
    <row r="96" spans="1:9" x14ac:dyDescent="0.3">
      <c r="A96" s="2" t="str">
        <f>HYPERLINK("https://www.pcpacanada.ca/negotiation/21283", "Vocabria and Cabenuva  (cabotegravir and rilpivirine)")</f>
        <v>Vocabria and Cabenuva  (cabotegravir and rilpivirine)</v>
      </c>
      <c r="B96" t="s">
        <v>3076</v>
      </c>
      <c r="C96" t="s">
        <v>2893</v>
      </c>
      <c r="D96" t="s">
        <v>1909</v>
      </c>
      <c r="E96" t="s">
        <v>3077</v>
      </c>
      <c r="F96" t="s">
        <v>3076</v>
      </c>
      <c r="G96" t="s">
        <v>2633</v>
      </c>
      <c r="H96" s="3">
        <v>44126</v>
      </c>
      <c r="I96" s="3">
        <v>44446</v>
      </c>
    </row>
    <row r="97" spans="1:9" x14ac:dyDescent="0.3">
      <c r="A97" s="2" t="str">
        <f>HYPERLINK("https://www.pcpacanada.ca/negotiation/21280", "Mayzent  (siponimod)")</f>
        <v>Mayzent  (siponimod)</v>
      </c>
      <c r="B97" t="s">
        <v>3073</v>
      </c>
      <c r="C97" t="s">
        <v>2900</v>
      </c>
      <c r="D97" t="s">
        <v>3078</v>
      </c>
      <c r="E97" t="s">
        <v>3079</v>
      </c>
      <c r="F97" t="s">
        <v>3073</v>
      </c>
      <c r="G97" t="s">
        <v>1536</v>
      </c>
      <c r="H97" s="3">
        <v>44313</v>
      </c>
      <c r="I97" s="3" t="s">
        <v>2880</v>
      </c>
    </row>
    <row r="98" spans="1:9" x14ac:dyDescent="0.3">
      <c r="A98" s="2" t="str">
        <f>HYPERLINK("https://www.pcpacanada.ca/negotiation/21276", "Vascepa  (icosapent ethyl)")</f>
        <v>Vascepa  (icosapent ethyl)</v>
      </c>
      <c r="B98" t="s">
        <v>3080</v>
      </c>
      <c r="C98" t="s">
        <v>2900</v>
      </c>
      <c r="D98" t="s">
        <v>2529</v>
      </c>
      <c r="E98" t="s">
        <v>3081</v>
      </c>
      <c r="F98" t="s">
        <v>3080</v>
      </c>
      <c r="G98" t="s">
        <v>2530</v>
      </c>
      <c r="H98" s="3">
        <v>44225</v>
      </c>
      <c r="I98" s="3" t="s">
        <v>2880</v>
      </c>
    </row>
    <row r="99" spans="1:9" x14ac:dyDescent="0.3">
      <c r="A99" s="2" t="str">
        <f>HYPERLINK("https://www.pcpacanada.ca/negotiation/21272", "Stelara  (ustekinumab)")</f>
        <v>Stelara  (ustekinumab)</v>
      </c>
      <c r="B99" t="s">
        <v>665</v>
      </c>
      <c r="C99" t="s">
        <v>3082</v>
      </c>
      <c r="D99" t="s">
        <v>599</v>
      </c>
      <c r="E99" t="s">
        <v>3083</v>
      </c>
      <c r="F99" t="s">
        <v>665</v>
      </c>
      <c r="G99" t="s">
        <v>2191</v>
      </c>
      <c r="H99" s="3">
        <v>44313</v>
      </c>
      <c r="I99" s="3">
        <v>44405</v>
      </c>
    </row>
    <row r="100" spans="1:9" x14ac:dyDescent="0.3">
      <c r="A100" s="2" t="str">
        <f>HYPERLINK("https://www.pcpacanada.ca/negotiation/21270", "Soliris  (eculizumab)")</f>
        <v>Soliris  (eculizumab)</v>
      </c>
      <c r="B100" t="s">
        <v>3056</v>
      </c>
      <c r="C100" t="s">
        <v>2900</v>
      </c>
      <c r="D100" t="s">
        <v>3084</v>
      </c>
      <c r="E100" t="s">
        <v>3085</v>
      </c>
      <c r="F100" t="s">
        <v>3056</v>
      </c>
      <c r="G100" t="s">
        <v>2152</v>
      </c>
      <c r="H100" s="3">
        <v>44257</v>
      </c>
      <c r="I100" s="3" t="s">
        <v>2880</v>
      </c>
    </row>
    <row r="101" spans="1:9" x14ac:dyDescent="0.3">
      <c r="A101" s="2" t="str">
        <f>HYPERLINK("https://www.pcpacanada.ca/negotiation/21266", "Darzalex SC  (Daratumumab )")</f>
        <v>Darzalex SC  (Daratumumab )</v>
      </c>
      <c r="B101" t="s">
        <v>665</v>
      </c>
      <c r="C101" t="s">
        <v>3082</v>
      </c>
      <c r="D101" t="s">
        <v>663</v>
      </c>
      <c r="E101" t="s">
        <v>3086</v>
      </c>
      <c r="F101" t="s">
        <v>665</v>
      </c>
      <c r="G101" t="s">
        <v>2880</v>
      </c>
      <c r="H101" s="3">
        <v>44022</v>
      </c>
      <c r="I101" s="3">
        <v>44181</v>
      </c>
    </row>
    <row r="102" spans="1:9" x14ac:dyDescent="0.3">
      <c r="A102" s="2" t="str">
        <f>HYPERLINK("https://www.pcpacanada.ca/negotiation/21264", "Adcetris  (brentuximab vedotin)")</f>
        <v>Adcetris  (brentuximab vedotin)</v>
      </c>
      <c r="B102" t="s">
        <v>116</v>
      </c>
      <c r="C102" t="s">
        <v>2893</v>
      </c>
      <c r="D102" t="s">
        <v>1204</v>
      </c>
      <c r="E102" t="s">
        <v>3087</v>
      </c>
      <c r="F102" t="s">
        <v>116</v>
      </c>
      <c r="G102" t="s">
        <v>3088</v>
      </c>
      <c r="H102" s="3">
        <v>44015</v>
      </c>
      <c r="I102" s="3">
        <v>44095</v>
      </c>
    </row>
    <row r="103" spans="1:9" x14ac:dyDescent="0.3">
      <c r="A103" s="2" t="str">
        <f>HYPERLINK("https://www.pcpacanada.ca/negotiation/21261", "Cuvposa  (Glycopyrrolate)")</f>
        <v>Cuvposa  (Glycopyrrolate)</v>
      </c>
      <c r="B103" t="s">
        <v>3089</v>
      </c>
      <c r="C103" t="s">
        <v>2877</v>
      </c>
      <c r="D103" t="s">
        <v>632</v>
      </c>
      <c r="E103" t="s">
        <v>3090</v>
      </c>
      <c r="F103" t="s">
        <v>3089</v>
      </c>
      <c r="G103" t="s">
        <v>633</v>
      </c>
      <c r="H103" s="3" t="s">
        <v>2880</v>
      </c>
      <c r="I103" s="3" t="s">
        <v>2880</v>
      </c>
    </row>
    <row r="104" spans="1:9" x14ac:dyDescent="0.3">
      <c r="A104" s="2" t="str">
        <f>HYPERLINK("https://www.pcpacanada.ca/negotiation/21257", "Xospata  (Gilteritinib)")</f>
        <v>Xospata  (Gilteritinib)</v>
      </c>
      <c r="B104" t="s">
        <v>3062</v>
      </c>
      <c r="C104" t="s">
        <v>2893</v>
      </c>
      <c r="D104" t="s">
        <v>2081</v>
      </c>
      <c r="E104" t="s">
        <v>3091</v>
      </c>
      <c r="F104" t="s">
        <v>3062</v>
      </c>
      <c r="G104" t="s">
        <v>3092</v>
      </c>
      <c r="H104" s="3">
        <v>44060</v>
      </c>
      <c r="I104" s="3">
        <v>44270</v>
      </c>
    </row>
    <row r="105" spans="1:9" x14ac:dyDescent="0.3">
      <c r="A105" s="2" t="str">
        <f>HYPERLINK("https://www.pcpacanada.ca/negotiation/21254", "Aermony Respiclick  (fluticasone propionate)")</f>
        <v>Aermony Respiclick  (fluticasone propionate)</v>
      </c>
      <c r="B105" t="s">
        <v>3093</v>
      </c>
      <c r="C105" t="s">
        <v>2893</v>
      </c>
      <c r="D105" t="s">
        <v>164</v>
      </c>
      <c r="E105" t="s">
        <v>3094</v>
      </c>
      <c r="F105" t="s">
        <v>3093</v>
      </c>
      <c r="G105" t="s">
        <v>2880</v>
      </c>
      <c r="H105" s="3">
        <v>44111</v>
      </c>
      <c r="I105" s="3">
        <v>44229</v>
      </c>
    </row>
    <row r="106" spans="1:9" x14ac:dyDescent="0.3">
      <c r="A106" s="2" t="str">
        <f>HYPERLINK("https://www.pcpacanada.ca/negotiation/21252", "Kisqali  (ribociclib)")</f>
        <v>Kisqali  (ribociclib)</v>
      </c>
      <c r="B106" t="s">
        <v>71</v>
      </c>
      <c r="C106" t="s">
        <v>2893</v>
      </c>
      <c r="D106" t="s">
        <v>1266</v>
      </c>
      <c r="E106" t="s">
        <v>3095</v>
      </c>
      <c r="F106" t="s">
        <v>71</v>
      </c>
      <c r="G106" t="s">
        <v>3096</v>
      </c>
      <c r="H106" s="3">
        <v>44004</v>
      </c>
      <c r="I106" s="3">
        <v>44026</v>
      </c>
    </row>
    <row r="107" spans="1:9" x14ac:dyDescent="0.3">
      <c r="A107" s="2" t="str">
        <f>HYPERLINK("https://www.pcpacanada.ca/negotiation/21250", "Kalydeco  (ivacaftor)")</f>
        <v>Kalydeco  (ivacaftor)</v>
      </c>
      <c r="B107" t="s">
        <v>1279</v>
      </c>
      <c r="C107" t="s">
        <v>2893</v>
      </c>
      <c r="D107" t="s">
        <v>3097</v>
      </c>
      <c r="E107" t="s">
        <v>3098</v>
      </c>
      <c r="F107" t="s">
        <v>1279</v>
      </c>
      <c r="G107" t="s">
        <v>2880</v>
      </c>
      <c r="H107" s="3">
        <v>43994</v>
      </c>
      <c r="I107" s="3">
        <v>44350</v>
      </c>
    </row>
    <row r="108" spans="1:9" x14ac:dyDescent="0.3">
      <c r="A108" s="2" t="str">
        <f>HYPERLINK("https://www.pcpacanada.ca/negotiation/21249", "Orkambi  (lumacaftor/ivacaftor)")</f>
        <v>Orkambi  (lumacaftor/ivacaftor)</v>
      </c>
      <c r="B108" t="s">
        <v>1279</v>
      </c>
      <c r="C108" t="s">
        <v>2893</v>
      </c>
      <c r="D108" t="s">
        <v>1798</v>
      </c>
      <c r="E108" t="s">
        <v>3099</v>
      </c>
      <c r="F108" t="s">
        <v>1279</v>
      </c>
      <c r="G108" t="s">
        <v>2880</v>
      </c>
      <c r="H108" s="3">
        <v>43994</v>
      </c>
      <c r="I108" s="3">
        <v>44350</v>
      </c>
    </row>
    <row r="109" spans="1:9" x14ac:dyDescent="0.3">
      <c r="A109" s="2" t="str">
        <f>HYPERLINK("https://www.pcpacanada.ca/negotiation/21248", "Contrave  (naltrexone hydrochloride and bupropion hydrochloride)")</f>
        <v>Contrave  (naltrexone hydrochloride and bupropion hydrochloride)</v>
      </c>
      <c r="B109" t="s">
        <v>593</v>
      </c>
      <c r="C109" t="s">
        <v>2908</v>
      </c>
      <c r="D109" t="s">
        <v>3100</v>
      </c>
      <c r="E109" t="s">
        <v>3101</v>
      </c>
      <c r="F109" t="s">
        <v>593</v>
      </c>
      <c r="G109" t="s">
        <v>592</v>
      </c>
      <c r="H109" s="3" t="s">
        <v>2880</v>
      </c>
      <c r="I109" s="3">
        <v>44117</v>
      </c>
    </row>
    <row r="110" spans="1:9" x14ac:dyDescent="0.3">
      <c r="A110" s="2" t="str">
        <f>HYPERLINK("https://www.pcpacanada.ca/negotiation/21244", "Nubeqa  (Darolutamide)")</f>
        <v>Nubeqa  (Darolutamide)</v>
      </c>
      <c r="B110" t="s">
        <v>146</v>
      </c>
      <c r="C110" t="s">
        <v>2893</v>
      </c>
      <c r="D110" t="s">
        <v>3102</v>
      </c>
      <c r="E110" t="s">
        <v>3103</v>
      </c>
      <c r="F110" t="s">
        <v>146</v>
      </c>
      <c r="G110" t="s">
        <v>3104</v>
      </c>
      <c r="H110" s="3">
        <v>44127</v>
      </c>
      <c r="I110" s="3">
        <v>44245</v>
      </c>
    </row>
    <row r="111" spans="1:9" x14ac:dyDescent="0.3">
      <c r="A111" s="2" t="str">
        <f>HYPERLINK("https://www.pcpacanada.ca/negotiation/21241", "Erleada  (apalutamide)")</f>
        <v>Erleada  (apalutamide)</v>
      </c>
      <c r="B111" t="s">
        <v>665</v>
      </c>
      <c r="C111" t="s">
        <v>2893</v>
      </c>
      <c r="D111" t="s">
        <v>3105</v>
      </c>
      <c r="E111" t="s">
        <v>3106</v>
      </c>
      <c r="F111" t="s">
        <v>665</v>
      </c>
      <c r="G111" t="s">
        <v>3107</v>
      </c>
      <c r="H111" s="3">
        <v>44113</v>
      </c>
      <c r="I111" s="3">
        <v>44425</v>
      </c>
    </row>
    <row r="112" spans="1:9" x14ac:dyDescent="0.3">
      <c r="A112" s="2" t="str">
        <f>HYPERLINK("https://www.pcpacanada.ca/negotiation/21238", "Cabometyx  (cabozantinib)")</f>
        <v>Cabometyx  (cabozantinib)</v>
      </c>
      <c r="B112" t="s">
        <v>3108</v>
      </c>
      <c r="C112" t="s">
        <v>2893</v>
      </c>
      <c r="D112" t="s">
        <v>509</v>
      </c>
      <c r="E112" t="s">
        <v>3109</v>
      </c>
      <c r="F112" t="s">
        <v>3108</v>
      </c>
      <c r="G112" t="s">
        <v>3110</v>
      </c>
      <c r="H112" s="3">
        <v>44159</v>
      </c>
      <c r="I112" s="3">
        <v>44432</v>
      </c>
    </row>
    <row r="113" spans="1:9" x14ac:dyDescent="0.3">
      <c r="A113" s="2" t="str">
        <f>HYPERLINK("https://www.pcpacanada.ca/negotiation/21235", "Crysvita  (burosumab)")</f>
        <v>Crysvita  (burosumab)</v>
      </c>
      <c r="B113" t="s">
        <v>3111</v>
      </c>
      <c r="C113" t="s">
        <v>2893</v>
      </c>
      <c r="D113" t="s">
        <v>3112</v>
      </c>
      <c r="E113" t="s">
        <v>3113</v>
      </c>
      <c r="F113" t="s">
        <v>3111</v>
      </c>
      <c r="G113" t="s">
        <v>625</v>
      </c>
      <c r="H113" s="3">
        <v>44113</v>
      </c>
      <c r="I113" s="3">
        <v>44449</v>
      </c>
    </row>
    <row r="114" spans="1:9" x14ac:dyDescent="0.3">
      <c r="A114" s="2" t="str">
        <f>HYPERLINK("https://www.pcpacanada.ca/negotiation/21228", "Entyvio (SC)  (vedolizumab)")</f>
        <v>Entyvio (SC)  (vedolizumab)</v>
      </c>
      <c r="B114" t="s">
        <v>243</v>
      </c>
      <c r="C114" t="s">
        <v>2893</v>
      </c>
      <c r="D114" t="s">
        <v>599</v>
      </c>
      <c r="E114" t="s">
        <v>3114</v>
      </c>
      <c r="F114" t="s">
        <v>243</v>
      </c>
      <c r="G114" t="s">
        <v>819</v>
      </c>
      <c r="H114" s="3">
        <v>44123</v>
      </c>
      <c r="I114" s="3">
        <v>44421</v>
      </c>
    </row>
    <row r="115" spans="1:9" x14ac:dyDescent="0.3">
      <c r="A115" s="2" t="str">
        <f>HYPERLINK("https://www.pcpacanada.ca/negotiation/21225", "Dupixent  (dupilumab)")</f>
        <v>Dupixent  (dupilumab)</v>
      </c>
      <c r="B115" t="s">
        <v>535</v>
      </c>
      <c r="C115" t="s">
        <v>2893</v>
      </c>
      <c r="D115" t="s">
        <v>3115</v>
      </c>
      <c r="E115" t="s">
        <v>3116</v>
      </c>
      <c r="F115" t="s">
        <v>535</v>
      </c>
      <c r="G115" t="s">
        <v>733</v>
      </c>
      <c r="H115" s="3">
        <v>44040</v>
      </c>
      <c r="I115" s="3">
        <v>44252</v>
      </c>
    </row>
    <row r="116" spans="1:9" x14ac:dyDescent="0.3">
      <c r="A116" s="2" t="str">
        <f>HYPERLINK("https://www.pcpacanada.ca/negotiation/21223", "Beovu  (brolucizumab)")</f>
        <v>Beovu  (brolucizumab)</v>
      </c>
      <c r="B116" t="s">
        <v>71</v>
      </c>
      <c r="C116" t="s">
        <v>2893</v>
      </c>
      <c r="D116" t="s">
        <v>3117</v>
      </c>
      <c r="E116" t="s">
        <v>3118</v>
      </c>
      <c r="F116" t="s">
        <v>71</v>
      </c>
      <c r="G116" t="s">
        <v>381</v>
      </c>
      <c r="H116" s="3">
        <v>44313</v>
      </c>
      <c r="I116" s="3">
        <v>44439</v>
      </c>
    </row>
    <row r="117" spans="1:9" x14ac:dyDescent="0.3">
      <c r="A117" s="2" t="str">
        <f>HYPERLINK("https://www.pcpacanada.ca/negotiation/21220", "Benlysta  (belimumab)")</f>
        <v>Benlysta  (belimumab)</v>
      </c>
      <c r="B117" t="s">
        <v>455</v>
      </c>
      <c r="C117" t="s">
        <v>2877</v>
      </c>
      <c r="D117" t="s">
        <v>377</v>
      </c>
      <c r="E117" t="s">
        <v>3119</v>
      </c>
      <c r="F117" t="s">
        <v>455</v>
      </c>
      <c r="G117" t="s">
        <v>376</v>
      </c>
      <c r="H117" s="3" t="s">
        <v>2880</v>
      </c>
      <c r="I117" s="3" t="s">
        <v>2880</v>
      </c>
    </row>
    <row r="118" spans="1:9" x14ac:dyDescent="0.3">
      <c r="A118" s="2" t="str">
        <f>HYPERLINK("https://www.pcpacanada.ca/negotiation/21218", "Kisqali (with fulvestrant)  (ribociclib with fulvestrant)")</f>
        <v>Kisqali (with fulvestrant)  (ribociclib with fulvestrant)</v>
      </c>
      <c r="B118" t="s">
        <v>71</v>
      </c>
      <c r="C118" t="s">
        <v>2893</v>
      </c>
      <c r="D118" t="s">
        <v>1266</v>
      </c>
      <c r="E118" t="s">
        <v>3120</v>
      </c>
      <c r="F118" t="s">
        <v>71</v>
      </c>
      <c r="G118" t="s">
        <v>3121</v>
      </c>
      <c r="H118" s="3">
        <v>43962</v>
      </c>
      <c r="I118" s="3">
        <v>44026</v>
      </c>
    </row>
    <row r="119" spans="1:9" x14ac:dyDescent="0.3">
      <c r="A119" s="2" t="str">
        <f>HYPERLINK("https://www.pcpacanada.ca/negotiation/21215", "Allerject   (epinephrine)")</f>
        <v>Allerject   (epinephrine)</v>
      </c>
      <c r="B119" t="s">
        <v>3122</v>
      </c>
      <c r="C119" t="s">
        <v>2893</v>
      </c>
      <c r="D119" t="s">
        <v>3123</v>
      </c>
      <c r="E119" t="s">
        <v>3124</v>
      </c>
      <c r="F119" t="s">
        <v>3122</v>
      </c>
      <c r="G119" t="s">
        <v>2880</v>
      </c>
      <c r="H119" s="3">
        <v>43973</v>
      </c>
      <c r="I119" s="3">
        <v>44034</v>
      </c>
    </row>
    <row r="120" spans="1:9" x14ac:dyDescent="0.3">
      <c r="A120" s="2" t="str">
        <f>HYPERLINK("https://www.pcpacanada.ca/negotiation/21210", "Otezla  (apremilast)")</f>
        <v>Otezla  (apremilast)</v>
      </c>
      <c r="B120" t="s">
        <v>407</v>
      </c>
      <c r="C120" t="s">
        <v>3082</v>
      </c>
      <c r="D120" t="s">
        <v>2902</v>
      </c>
      <c r="E120" t="s">
        <v>3125</v>
      </c>
      <c r="F120" t="s">
        <v>407</v>
      </c>
      <c r="G120" t="s">
        <v>2880</v>
      </c>
      <c r="H120" s="3">
        <v>44209</v>
      </c>
      <c r="I120" s="3">
        <v>44272</v>
      </c>
    </row>
    <row r="121" spans="1:9" x14ac:dyDescent="0.3">
      <c r="A121" s="2" t="str">
        <f>HYPERLINK("https://www.pcpacanada.ca/negotiation/21208", "Otezla  (apremilast)")</f>
        <v>Otezla  (apremilast)</v>
      </c>
      <c r="B121" t="s">
        <v>407</v>
      </c>
      <c r="C121" t="s">
        <v>3082</v>
      </c>
      <c r="D121" t="s">
        <v>558</v>
      </c>
      <c r="E121" t="s">
        <v>3126</v>
      </c>
      <c r="F121" t="s">
        <v>407</v>
      </c>
      <c r="G121" t="s">
        <v>2880</v>
      </c>
      <c r="H121" s="3">
        <v>44209</v>
      </c>
      <c r="I121" s="3">
        <v>44272</v>
      </c>
    </row>
    <row r="122" spans="1:9" x14ac:dyDescent="0.3">
      <c r="A122" s="2" t="str">
        <f>HYPERLINK("https://www.pcpacanada.ca/negotiation/21207", "Avsola  (infliximab)")</f>
        <v>Avsola  (infliximab)</v>
      </c>
      <c r="B122" t="s">
        <v>407</v>
      </c>
      <c r="C122" t="s">
        <v>2893</v>
      </c>
      <c r="D122" t="s">
        <v>3127</v>
      </c>
      <c r="E122" t="s">
        <v>3128</v>
      </c>
      <c r="F122" t="s">
        <v>407</v>
      </c>
      <c r="G122" t="s">
        <v>2880</v>
      </c>
      <c r="H122" s="3">
        <v>43966</v>
      </c>
      <c r="I122" s="3">
        <v>44137</v>
      </c>
    </row>
    <row r="123" spans="1:9" x14ac:dyDescent="0.3">
      <c r="A123" s="2" t="str">
        <f>HYPERLINK("https://www.pcpacanada.ca/negotiation/21205", "Nivestym  (filgrastim)")</f>
        <v>Nivestym  (filgrastim)</v>
      </c>
      <c r="B123" t="s">
        <v>445</v>
      </c>
      <c r="C123" t="s">
        <v>2893</v>
      </c>
      <c r="D123" t="s">
        <v>2341</v>
      </c>
      <c r="E123" t="s">
        <v>3129</v>
      </c>
      <c r="F123" t="s">
        <v>445</v>
      </c>
      <c r="G123" t="s">
        <v>2880</v>
      </c>
      <c r="H123" s="3">
        <v>43948</v>
      </c>
      <c r="I123" s="3">
        <v>43999</v>
      </c>
    </row>
    <row r="124" spans="1:9" x14ac:dyDescent="0.3">
      <c r="A124" s="2" t="str">
        <f>HYPERLINK("https://www.pcpacanada.ca/negotiation/21203", "Ziextenzo  (pegfilgrastim)")</f>
        <v>Ziextenzo  (pegfilgrastim)</v>
      </c>
      <c r="B124" t="s">
        <v>2357</v>
      </c>
      <c r="C124" t="s">
        <v>2893</v>
      </c>
      <c r="D124" t="s">
        <v>3027</v>
      </c>
      <c r="E124" t="s">
        <v>3130</v>
      </c>
      <c r="F124" t="s">
        <v>2357</v>
      </c>
      <c r="G124" t="s">
        <v>2880</v>
      </c>
      <c r="H124" s="3">
        <v>43948</v>
      </c>
      <c r="I124" s="3">
        <v>44034</v>
      </c>
    </row>
    <row r="125" spans="1:9" x14ac:dyDescent="0.3">
      <c r="A125" s="2" t="str">
        <f>HYPERLINK("https://www.pcpacanada.ca/negotiation/21201", "Redesca  (enoxaparin)")</f>
        <v>Redesca  (enoxaparin)</v>
      </c>
      <c r="B125" t="s">
        <v>1730</v>
      </c>
      <c r="C125" t="s">
        <v>2893</v>
      </c>
      <c r="D125" t="s">
        <v>3131</v>
      </c>
      <c r="E125" t="s">
        <v>3132</v>
      </c>
      <c r="F125" t="s">
        <v>1730</v>
      </c>
      <c r="G125" t="s">
        <v>2880</v>
      </c>
      <c r="H125" s="3">
        <v>44137</v>
      </c>
      <c r="I125" s="3">
        <v>44279</v>
      </c>
    </row>
    <row r="126" spans="1:9" x14ac:dyDescent="0.3">
      <c r="A126" s="2" t="str">
        <f>HYPERLINK("https://www.pcpacanada.ca/negotiation/21197", "Kanjinti  (trastuzumab)")</f>
        <v>Kanjinti  (trastuzumab)</v>
      </c>
      <c r="B126" t="s">
        <v>407</v>
      </c>
      <c r="C126" t="s">
        <v>2893</v>
      </c>
      <c r="D126" t="s">
        <v>3133</v>
      </c>
      <c r="E126" t="s">
        <v>3134</v>
      </c>
      <c r="F126" t="s">
        <v>407</v>
      </c>
      <c r="G126" t="s">
        <v>2880</v>
      </c>
      <c r="H126" s="3">
        <v>43914</v>
      </c>
      <c r="I126" s="3">
        <v>43937</v>
      </c>
    </row>
    <row r="127" spans="1:9" x14ac:dyDescent="0.3">
      <c r="A127" s="2" t="str">
        <f>HYPERLINK("https://www.pcpacanada.ca/negotiation/21196", "Envarsus PA  (tacrolimus)")</f>
        <v>Envarsus PA  (tacrolimus)</v>
      </c>
      <c r="B127" t="s">
        <v>67</v>
      </c>
      <c r="C127" t="s">
        <v>2893</v>
      </c>
      <c r="D127" t="s">
        <v>3135</v>
      </c>
      <c r="E127" t="s">
        <v>3136</v>
      </c>
      <c r="F127" t="s">
        <v>67</v>
      </c>
      <c r="G127" t="s">
        <v>2880</v>
      </c>
      <c r="H127" s="3">
        <v>43906</v>
      </c>
      <c r="I127" s="3">
        <v>44042</v>
      </c>
    </row>
    <row r="128" spans="1:9" x14ac:dyDescent="0.3">
      <c r="A128" s="2" t="str">
        <f>HYPERLINK("https://www.pcpacanada.ca/negotiation/21195", "Onstryv  (safinamide)")</f>
        <v>Onstryv  (safinamide)</v>
      </c>
      <c r="B128" t="s">
        <v>1730</v>
      </c>
      <c r="C128" t="s">
        <v>2877</v>
      </c>
      <c r="D128" t="s">
        <v>2989</v>
      </c>
      <c r="E128" t="s">
        <v>3137</v>
      </c>
      <c r="F128" t="s">
        <v>1730</v>
      </c>
      <c r="G128" t="s">
        <v>1729</v>
      </c>
      <c r="H128" s="3" t="s">
        <v>2880</v>
      </c>
      <c r="I128" s="3" t="s">
        <v>2880</v>
      </c>
    </row>
    <row r="129" spans="1:9" x14ac:dyDescent="0.3">
      <c r="A129" s="2" t="str">
        <f>HYPERLINK("https://www.pcpacanada.ca/negotiation/21194", "Monoferric  (iron (iii) isomaltoside 1000)")</f>
        <v>Monoferric  (iron (iii) isomaltoside 1000)</v>
      </c>
      <c r="B129" t="s">
        <v>1557</v>
      </c>
      <c r="C129" t="s">
        <v>2893</v>
      </c>
      <c r="D129" t="s">
        <v>1555</v>
      </c>
      <c r="E129" t="s">
        <v>3138</v>
      </c>
      <c r="F129" t="s">
        <v>1557</v>
      </c>
      <c r="G129" t="s">
        <v>1556</v>
      </c>
      <c r="H129" s="3">
        <v>44033</v>
      </c>
      <c r="I129" s="3">
        <v>44229</v>
      </c>
    </row>
    <row r="130" spans="1:9" x14ac:dyDescent="0.3">
      <c r="A130" s="2" t="str">
        <f>HYPERLINK("https://www.pcpacanada.ca/negotiation/21193", "Lokelma  (sodium zirconium cyclosilicate)")</f>
        <v>Lokelma  (sodium zirconium cyclosilicate)</v>
      </c>
      <c r="B130" t="s">
        <v>465</v>
      </c>
      <c r="C130" t="s">
        <v>2908</v>
      </c>
      <c r="D130" t="s">
        <v>2936</v>
      </c>
      <c r="E130" t="s">
        <v>3139</v>
      </c>
      <c r="F130" t="s">
        <v>465</v>
      </c>
      <c r="G130" t="s">
        <v>1460</v>
      </c>
      <c r="H130" s="3" t="s">
        <v>2880</v>
      </c>
      <c r="I130" s="3">
        <v>43937</v>
      </c>
    </row>
    <row r="131" spans="1:9" x14ac:dyDescent="0.3">
      <c r="A131" s="2" t="str">
        <f>HYPERLINK("https://www.pcpacanada.ca/negotiation/21192", "Taltz  (ixekizumab)")</f>
        <v>Taltz  (ixekizumab)</v>
      </c>
      <c r="B131" t="s">
        <v>133</v>
      </c>
      <c r="C131" t="s">
        <v>3082</v>
      </c>
      <c r="D131" t="s">
        <v>551</v>
      </c>
      <c r="E131" t="s">
        <v>3140</v>
      </c>
      <c r="F131" t="s">
        <v>133</v>
      </c>
      <c r="G131" t="s">
        <v>2282</v>
      </c>
      <c r="H131" s="3">
        <v>44209</v>
      </c>
      <c r="I131" s="3">
        <v>44274</v>
      </c>
    </row>
    <row r="132" spans="1:9" x14ac:dyDescent="0.3">
      <c r="A132" s="2" t="str">
        <f>HYPERLINK("https://www.pcpacanada.ca/negotiation/21191", "Vyndaqel  (tafamidis)")</f>
        <v>Vyndaqel  (tafamidis)</v>
      </c>
      <c r="B132" t="s">
        <v>445</v>
      </c>
      <c r="C132" t="s">
        <v>2893</v>
      </c>
      <c r="D132" t="s">
        <v>2656</v>
      </c>
      <c r="E132" t="s">
        <v>3141</v>
      </c>
      <c r="F132" t="s">
        <v>445</v>
      </c>
      <c r="G132" t="s">
        <v>2657</v>
      </c>
      <c r="H132" s="3">
        <v>43992</v>
      </c>
      <c r="I132" s="3">
        <v>44231</v>
      </c>
    </row>
    <row r="133" spans="1:9" x14ac:dyDescent="0.3">
      <c r="A133" s="2" t="str">
        <f>HYPERLINK("https://www.pcpacanada.ca/negotiation/21190", "Rinvoq  (upadacitinib)")</f>
        <v>Rinvoq  (upadacitinib)</v>
      </c>
      <c r="B133" t="s">
        <v>725</v>
      </c>
      <c r="C133" t="s">
        <v>2900</v>
      </c>
      <c r="D133" t="s">
        <v>3142</v>
      </c>
      <c r="E133" t="s">
        <v>3143</v>
      </c>
      <c r="F133" t="s">
        <v>725</v>
      </c>
      <c r="G133" t="s">
        <v>2059</v>
      </c>
      <c r="H133" s="3">
        <v>44217</v>
      </c>
      <c r="I133" s="3" t="s">
        <v>2880</v>
      </c>
    </row>
    <row r="134" spans="1:9" x14ac:dyDescent="0.3">
      <c r="A134" s="2" t="str">
        <f>HYPERLINK("https://www.pcpacanada.ca/negotiation/21189", "Lonsurf  (trifluridine/tipiracil)")</f>
        <v>Lonsurf  (trifluridine/tipiracil)</v>
      </c>
      <c r="B134" t="s">
        <v>3144</v>
      </c>
      <c r="C134" t="s">
        <v>2893</v>
      </c>
      <c r="D134" t="s">
        <v>3145</v>
      </c>
      <c r="E134" t="s">
        <v>3146</v>
      </c>
      <c r="F134" t="s">
        <v>3144</v>
      </c>
      <c r="G134" t="s">
        <v>3147</v>
      </c>
      <c r="H134" s="3">
        <v>44019</v>
      </c>
      <c r="I134" s="3">
        <v>44207</v>
      </c>
    </row>
    <row r="135" spans="1:9" x14ac:dyDescent="0.3">
      <c r="A135" s="2" t="str">
        <f>HYPERLINK("https://www.pcpacanada.ca/negotiation/21188", "Riximyo  (rituximab)")</f>
        <v>Riximyo  (rituximab)</v>
      </c>
      <c r="B135" t="s">
        <v>2357</v>
      </c>
      <c r="C135" t="s">
        <v>2893</v>
      </c>
      <c r="D135" t="s">
        <v>3148</v>
      </c>
      <c r="E135" t="s">
        <v>3149</v>
      </c>
      <c r="F135" t="s">
        <v>2357</v>
      </c>
      <c r="G135" t="s">
        <v>2880</v>
      </c>
      <c r="H135" s="3">
        <v>43945</v>
      </c>
      <c r="I135" s="3">
        <v>44001</v>
      </c>
    </row>
    <row r="136" spans="1:9" x14ac:dyDescent="0.3">
      <c r="A136" s="2" t="str">
        <f>HYPERLINK("https://www.pcpacanada.ca/negotiation/21186", "Ruxience  (rituximab)")</f>
        <v>Ruxience  (rituximab)</v>
      </c>
      <c r="B136" t="s">
        <v>445</v>
      </c>
      <c r="C136" t="s">
        <v>2893</v>
      </c>
      <c r="D136" t="s">
        <v>3021</v>
      </c>
      <c r="E136" t="s">
        <v>3150</v>
      </c>
      <c r="F136" t="s">
        <v>445</v>
      </c>
      <c r="G136" t="s">
        <v>2880</v>
      </c>
      <c r="H136" s="3">
        <v>43945</v>
      </c>
      <c r="I136" s="3">
        <v>43994</v>
      </c>
    </row>
    <row r="137" spans="1:9" x14ac:dyDescent="0.3">
      <c r="A137" s="2" t="str">
        <f>HYPERLINK("https://www.pcpacanada.ca/negotiation/21185", "Lutathera  (lutetium 177 dotatate)")</f>
        <v>Lutathera  (lutetium 177 dotatate)</v>
      </c>
      <c r="B137" t="s">
        <v>1499</v>
      </c>
      <c r="C137" t="s">
        <v>2893</v>
      </c>
      <c r="D137" t="s">
        <v>3151</v>
      </c>
      <c r="E137" t="s">
        <v>3152</v>
      </c>
      <c r="F137" t="s">
        <v>1499</v>
      </c>
      <c r="G137" t="s">
        <v>2880</v>
      </c>
      <c r="H137" s="3">
        <v>43887</v>
      </c>
      <c r="I137" s="3">
        <v>44041</v>
      </c>
    </row>
    <row r="138" spans="1:9" x14ac:dyDescent="0.3">
      <c r="A138" s="2" t="str">
        <f>HYPERLINK("https://www.pcpacanada.ca/negotiation/21184", "Baqsimi  (glucagon)")</f>
        <v>Baqsimi  (glucagon)</v>
      </c>
      <c r="B138" t="s">
        <v>133</v>
      </c>
      <c r="C138" t="s">
        <v>2900</v>
      </c>
      <c r="D138" t="s">
        <v>3153</v>
      </c>
      <c r="E138" t="s">
        <v>3154</v>
      </c>
      <c r="F138" t="s">
        <v>133</v>
      </c>
      <c r="G138" t="s">
        <v>351</v>
      </c>
      <c r="H138" s="3">
        <v>44179</v>
      </c>
      <c r="I138" s="3" t="s">
        <v>2880</v>
      </c>
    </row>
    <row r="139" spans="1:9" x14ac:dyDescent="0.3">
      <c r="A139" s="2" t="str">
        <f>HYPERLINK("https://www.pcpacanada.ca/negotiation/21183", "Admelog  (insulin lispro)")</f>
        <v>Admelog  (insulin lispro)</v>
      </c>
      <c r="B139" t="s">
        <v>152</v>
      </c>
      <c r="C139" t="s">
        <v>2893</v>
      </c>
      <c r="D139" t="s">
        <v>2904</v>
      </c>
      <c r="E139" t="s">
        <v>3155</v>
      </c>
      <c r="F139" t="s">
        <v>152</v>
      </c>
      <c r="G139" t="s">
        <v>2880</v>
      </c>
      <c r="H139" s="3">
        <v>43859</v>
      </c>
      <c r="I139" s="3">
        <v>44104</v>
      </c>
    </row>
    <row r="140" spans="1:9" x14ac:dyDescent="0.3">
      <c r="A140" s="2" t="str">
        <f>HYPERLINK("https://www.pcpacanada.ca/negotiation/21182", "Lorbrena  (lorlatinib)")</f>
        <v>Lorbrena  (lorlatinib)</v>
      </c>
      <c r="B140" t="s">
        <v>445</v>
      </c>
      <c r="C140" t="s">
        <v>2908</v>
      </c>
      <c r="D140" t="s">
        <v>3156</v>
      </c>
      <c r="E140" t="s">
        <v>3157</v>
      </c>
      <c r="F140" t="s">
        <v>445</v>
      </c>
      <c r="G140" t="s">
        <v>3158</v>
      </c>
      <c r="H140" s="3" t="s">
        <v>2880</v>
      </c>
      <c r="I140" s="3">
        <v>43942</v>
      </c>
    </row>
    <row r="141" spans="1:9" x14ac:dyDescent="0.3">
      <c r="A141" s="2" t="str">
        <f>HYPERLINK("https://www.pcpacanada.ca/negotiation/21181", "Rydapt  (midostaurin)")</f>
        <v>Rydapt  (midostaurin)</v>
      </c>
      <c r="B141" t="s">
        <v>71</v>
      </c>
      <c r="C141" t="s">
        <v>2908</v>
      </c>
      <c r="D141" t="s">
        <v>2086</v>
      </c>
      <c r="E141" t="s">
        <v>3159</v>
      </c>
      <c r="F141" t="s">
        <v>71</v>
      </c>
      <c r="G141" t="s">
        <v>3160</v>
      </c>
      <c r="H141" s="3" t="s">
        <v>2880</v>
      </c>
      <c r="I141" s="3">
        <v>43976</v>
      </c>
    </row>
    <row r="142" spans="1:9" x14ac:dyDescent="0.3">
      <c r="A142" s="2" t="str">
        <f>HYPERLINK("https://www.pcpacanada.ca/negotiation/21180", "Mylotarg  (gemtuzumab ozogamicin)")</f>
        <v>Mylotarg  (gemtuzumab ozogamicin)</v>
      </c>
      <c r="B142" t="s">
        <v>445</v>
      </c>
      <c r="C142" t="s">
        <v>2893</v>
      </c>
      <c r="D142" t="s">
        <v>2081</v>
      </c>
      <c r="E142" t="s">
        <v>3161</v>
      </c>
      <c r="F142" t="s">
        <v>445</v>
      </c>
      <c r="G142" t="s">
        <v>3162</v>
      </c>
      <c r="H142" s="3">
        <v>43999</v>
      </c>
      <c r="I142" s="3">
        <v>44055</v>
      </c>
    </row>
    <row r="143" spans="1:9" x14ac:dyDescent="0.3">
      <c r="A143" s="2" t="str">
        <f>HYPERLINK("https://www.pcpacanada.ca/negotiation/21179", "Keytruda  (pembrolizumab)")</f>
        <v>Keytruda  (pembrolizumab)</v>
      </c>
      <c r="B143" t="s">
        <v>289</v>
      </c>
      <c r="C143" t="s">
        <v>2893</v>
      </c>
      <c r="D143" t="s">
        <v>3163</v>
      </c>
      <c r="E143" t="s">
        <v>3164</v>
      </c>
      <c r="F143" t="s">
        <v>289</v>
      </c>
      <c r="G143" t="s">
        <v>3165</v>
      </c>
      <c r="H143" s="3">
        <v>43962</v>
      </c>
      <c r="I143" s="3">
        <v>44166</v>
      </c>
    </row>
    <row r="144" spans="1:9" x14ac:dyDescent="0.3">
      <c r="A144" s="2" t="str">
        <f>HYPERLINK("https://www.pcpacanada.ca/negotiation/21178", "Nerlynx  (neratinib)")</f>
        <v>Nerlynx  (neratinib)</v>
      </c>
      <c r="B144" t="s">
        <v>3166</v>
      </c>
      <c r="C144" t="s">
        <v>2908</v>
      </c>
      <c r="D144" t="s">
        <v>3167</v>
      </c>
      <c r="E144" t="s">
        <v>3168</v>
      </c>
      <c r="F144" t="s">
        <v>3166</v>
      </c>
      <c r="G144" t="s">
        <v>3169</v>
      </c>
      <c r="H144" s="3">
        <v>43865</v>
      </c>
      <c r="I144" s="3">
        <v>43865</v>
      </c>
    </row>
    <row r="145" spans="1:9" x14ac:dyDescent="0.3">
      <c r="A145" s="2" t="str">
        <f>HYPERLINK("https://www.pcpacanada.ca/negotiation/21176", "Cimzia  (certolizumab pegol)")</f>
        <v>Cimzia  (certolizumab pegol)</v>
      </c>
      <c r="B145" t="s">
        <v>481</v>
      </c>
      <c r="C145" t="s">
        <v>3082</v>
      </c>
      <c r="D145" t="s">
        <v>558</v>
      </c>
      <c r="E145" t="s">
        <v>3170</v>
      </c>
      <c r="F145" t="s">
        <v>481</v>
      </c>
      <c r="G145" t="s">
        <v>559</v>
      </c>
      <c r="H145" s="3">
        <v>43858</v>
      </c>
      <c r="I145" s="3">
        <v>44323</v>
      </c>
    </row>
    <row r="146" spans="1:9" x14ac:dyDescent="0.3">
      <c r="A146" s="2" t="str">
        <f>HYPERLINK("https://www.pcpacanada.ca/negotiation/21175", "Takhzyro  (lanadelumab)")</f>
        <v>Takhzyro  (lanadelumab)</v>
      </c>
      <c r="B146" t="s">
        <v>2280</v>
      </c>
      <c r="C146" t="s">
        <v>2893</v>
      </c>
      <c r="D146" t="s">
        <v>3171</v>
      </c>
      <c r="E146" t="s">
        <v>3172</v>
      </c>
      <c r="F146" t="s">
        <v>2280</v>
      </c>
      <c r="G146" t="s">
        <v>2279</v>
      </c>
      <c r="H146" s="3">
        <v>43882</v>
      </c>
      <c r="I146" s="3">
        <v>44134</v>
      </c>
    </row>
    <row r="147" spans="1:9" x14ac:dyDescent="0.3">
      <c r="A147" s="2" t="str">
        <f>HYPERLINK("https://www.pcpacanada.ca/negotiation/21174", "Revestive  (teduglutide)")</f>
        <v>Revestive  (teduglutide)</v>
      </c>
      <c r="B147" t="s">
        <v>2280</v>
      </c>
      <c r="C147" t="s">
        <v>2893</v>
      </c>
      <c r="D147" t="s">
        <v>3173</v>
      </c>
      <c r="E147" t="s">
        <v>3174</v>
      </c>
      <c r="F147" t="s">
        <v>2280</v>
      </c>
      <c r="G147" t="s">
        <v>2022</v>
      </c>
      <c r="H147" s="3">
        <v>43882</v>
      </c>
      <c r="I147" s="3">
        <v>44132</v>
      </c>
    </row>
    <row r="148" spans="1:9" x14ac:dyDescent="0.3">
      <c r="A148" s="2" t="str">
        <f>HYPERLINK("https://www.pcpacanada.ca/negotiation/21173", "Verkazia  (cyclosporine)")</f>
        <v>Verkazia  (cyclosporine)</v>
      </c>
      <c r="B148" t="s">
        <v>3175</v>
      </c>
      <c r="C148" t="s">
        <v>2893</v>
      </c>
      <c r="D148" t="s">
        <v>3176</v>
      </c>
      <c r="E148" t="s">
        <v>3177</v>
      </c>
      <c r="F148" t="s">
        <v>3175</v>
      </c>
      <c r="G148" t="s">
        <v>2574</v>
      </c>
      <c r="H148" s="3">
        <v>43888</v>
      </c>
      <c r="I148" s="3">
        <v>44155</v>
      </c>
    </row>
    <row r="149" spans="1:9" x14ac:dyDescent="0.3">
      <c r="A149" s="2" t="str">
        <f>HYPERLINK("https://www.pcpacanada.ca/negotiation/21172", "Lonsurf  (trifluridine/tipiracil)")</f>
        <v>Lonsurf  (trifluridine/tipiracil)</v>
      </c>
      <c r="B149" t="s">
        <v>3144</v>
      </c>
      <c r="C149" t="s">
        <v>2908</v>
      </c>
      <c r="D149" t="s">
        <v>324</v>
      </c>
      <c r="E149" t="s">
        <v>3178</v>
      </c>
      <c r="F149" t="s">
        <v>3144</v>
      </c>
      <c r="G149" t="s">
        <v>3179</v>
      </c>
      <c r="H149" s="3">
        <v>43756</v>
      </c>
      <c r="I149" s="3">
        <v>43756</v>
      </c>
    </row>
    <row r="150" spans="1:9" x14ac:dyDescent="0.3">
      <c r="A150" s="2" t="str">
        <f>HYPERLINK("https://www.pcpacanada.ca/negotiation/21171", "Mezera  (mesalazine)")</f>
        <v>Mezera  (mesalazine)</v>
      </c>
      <c r="B150" t="s">
        <v>622</v>
      </c>
      <c r="C150" t="s">
        <v>2893</v>
      </c>
      <c r="D150" t="s">
        <v>599</v>
      </c>
      <c r="E150" t="s">
        <v>3180</v>
      </c>
      <c r="F150" t="s">
        <v>622</v>
      </c>
      <c r="G150" t="s">
        <v>2880</v>
      </c>
      <c r="H150" s="3">
        <v>43769</v>
      </c>
      <c r="I150" s="3">
        <v>43942</v>
      </c>
    </row>
    <row r="151" spans="1:9" x14ac:dyDescent="0.3">
      <c r="A151" s="2" t="str">
        <f>HYPERLINK("https://www.pcpacanada.ca/negotiation/21170", "Kadcyla  (trastuzumab emtansine)")</f>
        <v>Kadcyla  (trastuzumab emtansine)</v>
      </c>
      <c r="B151" t="s">
        <v>3068</v>
      </c>
      <c r="C151" t="s">
        <v>2893</v>
      </c>
      <c r="D151" t="s">
        <v>3181</v>
      </c>
      <c r="E151" t="s">
        <v>3182</v>
      </c>
      <c r="F151" t="s">
        <v>3068</v>
      </c>
      <c r="G151" t="s">
        <v>3183</v>
      </c>
      <c r="H151" s="3">
        <v>43972</v>
      </c>
      <c r="I151" s="3">
        <v>44140</v>
      </c>
    </row>
    <row r="152" spans="1:9" x14ac:dyDescent="0.3">
      <c r="A152" s="2" t="str">
        <f>HYPERLINK("https://www.pcpacanada.ca/negotiation/21169", "Darzalex  (daratumumab)")</f>
        <v>Darzalex  (daratumumab)</v>
      </c>
      <c r="B152" t="s">
        <v>665</v>
      </c>
      <c r="C152" t="s">
        <v>2900</v>
      </c>
      <c r="D152" t="s">
        <v>663</v>
      </c>
      <c r="E152" t="s">
        <v>3184</v>
      </c>
      <c r="F152" t="s">
        <v>665</v>
      </c>
      <c r="G152" t="s">
        <v>3185</v>
      </c>
      <c r="H152" s="3">
        <v>44253</v>
      </c>
      <c r="I152" s="3" t="s">
        <v>2880</v>
      </c>
    </row>
    <row r="153" spans="1:9" x14ac:dyDescent="0.3">
      <c r="A153" s="2" t="str">
        <f>HYPERLINK("https://www.pcpacanada.ca/negotiation/21168", "Keytruda  (pembrolizumab)")</f>
        <v>Keytruda  (pembrolizumab)</v>
      </c>
      <c r="B153" t="s">
        <v>289</v>
      </c>
      <c r="C153" t="s">
        <v>2893</v>
      </c>
      <c r="D153" t="s">
        <v>3186</v>
      </c>
      <c r="E153" t="s">
        <v>3187</v>
      </c>
      <c r="F153" t="s">
        <v>289</v>
      </c>
      <c r="G153" t="s">
        <v>3188</v>
      </c>
      <c r="H153" s="3">
        <v>43852</v>
      </c>
      <c r="I153" s="3">
        <v>43936</v>
      </c>
    </row>
    <row r="154" spans="1:9" x14ac:dyDescent="0.3">
      <c r="A154" s="2" t="str">
        <f>HYPERLINK("https://www.pcpacanada.ca/negotiation/21167", "Tecentriq  (atezolizumab)")</f>
        <v>Tecentriq  (atezolizumab)</v>
      </c>
      <c r="B154" t="s">
        <v>3068</v>
      </c>
      <c r="C154" t="s">
        <v>2900</v>
      </c>
      <c r="D154" t="s">
        <v>3189</v>
      </c>
      <c r="E154" t="s">
        <v>3190</v>
      </c>
      <c r="F154" t="s">
        <v>3068</v>
      </c>
      <c r="G154" t="s">
        <v>2378</v>
      </c>
      <c r="H154" s="3">
        <v>44466</v>
      </c>
      <c r="I154" s="3" t="s">
        <v>2880</v>
      </c>
    </row>
    <row r="155" spans="1:9" x14ac:dyDescent="0.3">
      <c r="A155" s="2" t="str">
        <f>HYPERLINK("https://www.pcpacanada.ca/negotiation/21166", "Lynparza  (olaparib)")</f>
        <v>Lynparza  (olaparib)</v>
      </c>
      <c r="B155" t="s">
        <v>465</v>
      </c>
      <c r="C155" t="s">
        <v>2893</v>
      </c>
      <c r="D155" t="s">
        <v>3059</v>
      </c>
      <c r="E155" t="s">
        <v>3191</v>
      </c>
      <c r="F155" t="s">
        <v>465</v>
      </c>
      <c r="G155" t="s">
        <v>3192</v>
      </c>
      <c r="H155" s="3">
        <v>44000</v>
      </c>
      <c r="I155" s="3">
        <v>44125</v>
      </c>
    </row>
    <row r="156" spans="1:9" x14ac:dyDescent="0.3">
      <c r="A156" s="2" t="str">
        <f>HYPERLINK("https://www.pcpacanada.ca/negotiation/21165", "Trintellix  (vortioxetine)")</f>
        <v>Trintellix  (vortioxetine)</v>
      </c>
      <c r="B156" t="s">
        <v>568</v>
      </c>
      <c r="C156" t="s">
        <v>2893</v>
      </c>
      <c r="D156" t="s">
        <v>3016</v>
      </c>
      <c r="E156" t="s">
        <v>3193</v>
      </c>
      <c r="F156" t="s">
        <v>568</v>
      </c>
      <c r="G156" t="s">
        <v>2465</v>
      </c>
      <c r="H156" s="3">
        <v>44018</v>
      </c>
      <c r="I156" s="3">
        <v>44168</v>
      </c>
    </row>
    <row r="157" spans="1:9" x14ac:dyDescent="0.3">
      <c r="A157" s="2" t="str">
        <f>HYPERLINK("https://www.pcpacanada.ca/negotiation/21164", "Xultophy  (insulin degludec/liraglutide)")</f>
        <v>Xultophy  (insulin degludec/liraglutide)</v>
      </c>
      <c r="B157" t="s">
        <v>1433</v>
      </c>
      <c r="C157" t="s">
        <v>3082</v>
      </c>
      <c r="D157" t="s">
        <v>1192</v>
      </c>
      <c r="E157" t="s">
        <v>3194</v>
      </c>
      <c r="F157" t="s">
        <v>1433</v>
      </c>
      <c r="G157" t="s">
        <v>2765</v>
      </c>
      <c r="H157" s="3">
        <v>43861</v>
      </c>
      <c r="I157" s="3">
        <v>44312</v>
      </c>
    </row>
    <row r="158" spans="1:9" x14ac:dyDescent="0.3">
      <c r="A158" s="2" t="str">
        <f>HYPERLINK("https://www.pcpacanada.ca/negotiation/21163", "Dovato  (dolutegravir/lamivudine)")</f>
        <v>Dovato  (dolutegravir/lamivudine)</v>
      </c>
      <c r="B158" t="s">
        <v>715</v>
      </c>
      <c r="C158" t="s">
        <v>2893</v>
      </c>
      <c r="D158" t="s">
        <v>1909</v>
      </c>
      <c r="E158" t="s">
        <v>3195</v>
      </c>
      <c r="F158" t="s">
        <v>715</v>
      </c>
      <c r="G158" t="s">
        <v>714</v>
      </c>
      <c r="H158" s="3">
        <v>43742</v>
      </c>
      <c r="I158" s="3">
        <v>43790</v>
      </c>
    </row>
    <row r="159" spans="1:9" x14ac:dyDescent="0.3">
      <c r="A159" s="2" t="str">
        <f>HYPERLINK("https://www.pcpacanada.ca/negotiation/21162", "Iluvien  (fluocinolone acetonide)")</f>
        <v>Iluvien  (fluocinolone acetonide)</v>
      </c>
      <c r="B159" t="s">
        <v>3166</v>
      </c>
      <c r="C159" t="s">
        <v>2908</v>
      </c>
      <c r="D159" t="s">
        <v>3196</v>
      </c>
      <c r="E159" t="s">
        <v>3197</v>
      </c>
      <c r="F159" t="s">
        <v>3166</v>
      </c>
      <c r="G159" t="s">
        <v>1100</v>
      </c>
      <c r="H159" s="3">
        <v>43770</v>
      </c>
      <c r="I159" s="3">
        <v>43770</v>
      </c>
    </row>
    <row r="160" spans="1:9" x14ac:dyDescent="0.3">
      <c r="A160" s="2" t="str">
        <f>HYPERLINK("https://www.pcpacanada.ca/negotiation/21161", "Emerade  (epinephrine bitartrate)")</f>
        <v>Emerade  (epinephrine bitartrate)</v>
      </c>
      <c r="B160" t="s">
        <v>593</v>
      </c>
      <c r="C160" t="s">
        <v>2893</v>
      </c>
      <c r="D160" t="s">
        <v>3123</v>
      </c>
      <c r="E160" t="s">
        <v>3198</v>
      </c>
      <c r="F160" t="s">
        <v>593</v>
      </c>
      <c r="G160" t="s">
        <v>2880</v>
      </c>
      <c r="H160" s="3">
        <v>43707</v>
      </c>
      <c r="I160" s="3">
        <v>43865</v>
      </c>
    </row>
    <row r="161" spans="1:9" x14ac:dyDescent="0.3">
      <c r="A161" s="2" t="str">
        <f>HYPERLINK("https://www.pcpacanada.ca/negotiation/21160", "Bosulif  (bosutinib)")</f>
        <v>Bosulif  (bosutinib)</v>
      </c>
      <c r="B161" t="s">
        <v>445</v>
      </c>
      <c r="C161" t="s">
        <v>2893</v>
      </c>
      <c r="D161" t="s">
        <v>423</v>
      </c>
      <c r="E161" t="s">
        <v>3199</v>
      </c>
      <c r="F161" t="s">
        <v>445</v>
      </c>
      <c r="G161" t="s">
        <v>3200</v>
      </c>
      <c r="H161" s="3">
        <v>43704</v>
      </c>
      <c r="I161" s="3">
        <v>43880</v>
      </c>
    </row>
    <row r="162" spans="1:9" x14ac:dyDescent="0.3">
      <c r="A162" s="2" t="str">
        <f>HYPERLINK("https://www.pcpacanada.ca/negotiation/21159", "Olumiant  (baricitinib)")</f>
        <v>Olumiant  (baricitinib)</v>
      </c>
      <c r="B162" t="s">
        <v>133</v>
      </c>
      <c r="C162" t="s">
        <v>2893</v>
      </c>
      <c r="D162" t="s">
        <v>3142</v>
      </c>
      <c r="E162" t="s">
        <v>3201</v>
      </c>
      <c r="F162" t="s">
        <v>133</v>
      </c>
      <c r="G162" t="s">
        <v>1695</v>
      </c>
      <c r="H162" s="3">
        <v>43728</v>
      </c>
      <c r="I162" s="3">
        <v>44326</v>
      </c>
    </row>
    <row r="163" spans="1:9" x14ac:dyDescent="0.3">
      <c r="A163" s="2" t="str">
        <f>HYPERLINK("https://www.pcpacanada.ca/negotiation/21158", "Orfadin Oral Suspension  (nitisinone)")</f>
        <v>Orfadin Oral Suspension  (nitisinone)</v>
      </c>
      <c r="B163" t="s">
        <v>1793</v>
      </c>
      <c r="C163" t="s">
        <v>3082</v>
      </c>
      <c r="D163" t="s">
        <v>3202</v>
      </c>
      <c r="E163" t="s">
        <v>3203</v>
      </c>
      <c r="F163" t="s">
        <v>1793</v>
      </c>
      <c r="G163" t="s">
        <v>2880</v>
      </c>
      <c r="H163" s="3">
        <v>43686</v>
      </c>
      <c r="I163" s="3">
        <v>43920</v>
      </c>
    </row>
    <row r="164" spans="1:9" x14ac:dyDescent="0.3">
      <c r="A164" s="2" t="str">
        <f>HYPERLINK("https://www.pcpacanada.ca/negotiation/21157", "Onpattro  (patisiran)")</f>
        <v>Onpattro  (patisiran)</v>
      </c>
      <c r="B164" t="s">
        <v>1000</v>
      </c>
      <c r="C164" t="s">
        <v>2893</v>
      </c>
      <c r="D164" t="s">
        <v>3204</v>
      </c>
      <c r="E164" t="s">
        <v>3205</v>
      </c>
      <c r="F164" t="s">
        <v>1000</v>
      </c>
      <c r="G164" t="s">
        <v>1722</v>
      </c>
      <c r="H164" s="3">
        <v>43784</v>
      </c>
      <c r="I164" s="3">
        <v>44165</v>
      </c>
    </row>
    <row r="165" spans="1:9" x14ac:dyDescent="0.3">
      <c r="A165" s="2" t="str">
        <f>HYPERLINK("https://www.pcpacanada.ca/negotiation/21156", "Tegsedi  (inotersen)")</f>
        <v>Tegsedi  (inotersen)</v>
      </c>
      <c r="B165" t="s">
        <v>2400</v>
      </c>
      <c r="C165" t="s">
        <v>2893</v>
      </c>
      <c r="D165" t="s">
        <v>3204</v>
      </c>
      <c r="E165" t="s">
        <v>3206</v>
      </c>
      <c r="F165" t="s">
        <v>2400</v>
      </c>
      <c r="G165" t="s">
        <v>2399</v>
      </c>
      <c r="H165" s="3">
        <v>43798</v>
      </c>
      <c r="I165" s="3">
        <v>43951</v>
      </c>
    </row>
    <row r="166" spans="1:9" x14ac:dyDescent="0.3">
      <c r="A166" s="2" t="str">
        <f>HYPERLINK("https://www.pcpacanada.ca/negotiation/21155", "Truxima  (rituximab)")</f>
        <v>Truxima  (rituximab)</v>
      </c>
      <c r="B166" t="s">
        <v>3093</v>
      </c>
      <c r="C166" t="s">
        <v>2893</v>
      </c>
      <c r="D166" t="s">
        <v>3148</v>
      </c>
      <c r="E166" t="s">
        <v>3207</v>
      </c>
      <c r="F166" t="s">
        <v>3093</v>
      </c>
      <c r="G166" t="s">
        <v>2880</v>
      </c>
      <c r="H166" s="3">
        <v>43721</v>
      </c>
      <c r="I166" s="3">
        <v>43873</v>
      </c>
    </row>
    <row r="167" spans="1:9" x14ac:dyDescent="0.3">
      <c r="A167" s="2" t="str">
        <f>HYPERLINK("https://www.pcpacanada.ca/negotiation/21154", "Vitrakvi  (larotrectinib)")</f>
        <v>Vitrakvi  (larotrectinib)</v>
      </c>
      <c r="B167" t="s">
        <v>146</v>
      </c>
      <c r="C167" t="s">
        <v>2908</v>
      </c>
      <c r="D167" t="s">
        <v>3208</v>
      </c>
      <c r="E167" t="s">
        <v>3209</v>
      </c>
      <c r="F167" t="s">
        <v>146</v>
      </c>
      <c r="G167" t="s">
        <v>3210</v>
      </c>
      <c r="H167" s="3">
        <v>43829</v>
      </c>
      <c r="I167" s="3">
        <v>43829</v>
      </c>
    </row>
    <row r="168" spans="1:9" x14ac:dyDescent="0.3">
      <c r="A168" s="2" t="str">
        <f>HYPERLINK("https://www.pcpacanada.ca/negotiation/21153", "Pomalyst  (pomalidomide)")</f>
        <v>Pomalyst  (pomalidomide)</v>
      </c>
      <c r="B168" t="s">
        <v>61</v>
      </c>
      <c r="C168" t="s">
        <v>2908</v>
      </c>
      <c r="D168" t="s">
        <v>3211</v>
      </c>
      <c r="E168" t="s">
        <v>3212</v>
      </c>
      <c r="F168" t="s">
        <v>61</v>
      </c>
      <c r="G168" t="s">
        <v>3213</v>
      </c>
      <c r="H168" s="3" t="s">
        <v>2880</v>
      </c>
      <c r="I168" s="3">
        <v>44351</v>
      </c>
    </row>
    <row r="169" spans="1:9" x14ac:dyDescent="0.3">
      <c r="A169" s="2" t="str">
        <f>HYPERLINK("https://www.pcpacanada.ca/negotiation/21152", "Idhifa  (enasidenib)")</f>
        <v>Idhifa  (enasidenib)</v>
      </c>
      <c r="B169" t="s">
        <v>61</v>
      </c>
      <c r="C169" t="s">
        <v>2877</v>
      </c>
      <c r="D169" t="s">
        <v>2081</v>
      </c>
      <c r="E169" t="s">
        <v>3214</v>
      </c>
      <c r="F169" t="s">
        <v>61</v>
      </c>
      <c r="G169" t="s">
        <v>3215</v>
      </c>
      <c r="H169" s="3" t="s">
        <v>2880</v>
      </c>
      <c r="I169" s="3" t="s">
        <v>2880</v>
      </c>
    </row>
    <row r="170" spans="1:9" x14ac:dyDescent="0.3">
      <c r="A170" s="2" t="str">
        <f>HYPERLINK("https://www.pcpacanada.ca/negotiation/21151", "Revlimid  (lenalidomide)")</f>
        <v>Revlimid  (lenalidomide)</v>
      </c>
      <c r="B170" t="s">
        <v>61</v>
      </c>
      <c r="C170" t="s">
        <v>2893</v>
      </c>
      <c r="D170" t="s">
        <v>663</v>
      </c>
      <c r="E170" t="s">
        <v>3216</v>
      </c>
      <c r="F170" t="s">
        <v>61</v>
      </c>
      <c r="G170" t="s">
        <v>3217</v>
      </c>
      <c r="H170" s="3">
        <v>43732</v>
      </c>
      <c r="I170" s="3">
        <v>43992</v>
      </c>
    </row>
    <row r="171" spans="1:9" x14ac:dyDescent="0.3">
      <c r="A171" s="2" t="str">
        <f>HYPERLINK("https://www.pcpacanada.ca/negotiation/21150", "Sublocade  (buprenorphine)")</f>
        <v>Sublocade  (buprenorphine)</v>
      </c>
      <c r="B171" t="s">
        <v>3033</v>
      </c>
      <c r="C171" t="s">
        <v>2893</v>
      </c>
      <c r="D171" t="s">
        <v>3218</v>
      </c>
      <c r="E171" t="s">
        <v>3219</v>
      </c>
      <c r="F171" t="s">
        <v>3033</v>
      </c>
      <c r="G171" t="s">
        <v>3220</v>
      </c>
      <c r="H171" s="3">
        <v>43655</v>
      </c>
      <c r="I171" s="3">
        <v>43929</v>
      </c>
    </row>
    <row r="172" spans="1:9" x14ac:dyDescent="0.3">
      <c r="A172" s="2" t="str">
        <f>HYPERLINK("https://www.pcpacanada.ca/negotiation/21149", "Cystadrops  (cysteamine)")</f>
        <v>Cystadrops  (cysteamine)</v>
      </c>
      <c r="B172" t="s">
        <v>3221</v>
      </c>
      <c r="C172" t="s">
        <v>2893</v>
      </c>
      <c r="D172" t="s">
        <v>3222</v>
      </c>
      <c r="E172" t="s">
        <v>3223</v>
      </c>
      <c r="F172" t="s">
        <v>3221</v>
      </c>
      <c r="G172" t="s">
        <v>650</v>
      </c>
      <c r="H172" s="3">
        <v>43642</v>
      </c>
      <c r="I172" s="3">
        <v>43699</v>
      </c>
    </row>
    <row r="173" spans="1:9" x14ac:dyDescent="0.3">
      <c r="A173" s="2" t="str">
        <f>HYPERLINK("https://www.pcpacanada.ca/negotiation/21148", "Libtayo  (cemiplimab)")</f>
        <v>Libtayo  (cemiplimab)</v>
      </c>
      <c r="B173" t="s">
        <v>535</v>
      </c>
      <c r="C173" t="s">
        <v>2893</v>
      </c>
      <c r="D173" t="s">
        <v>3224</v>
      </c>
      <c r="E173" t="s">
        <v>3225</v>
      </c>
      <c r="F173" t="s">
        <v>535</v>
      </c>
      <c r="G173" t="s">
        <v>3226</v>
      </c>
      <c r="H173" s="3">
        <v>43990</v>
      </c>
      <c r="I173" s="3">
        <v>44139</v>
      </c>
    </row>
    <row r="174" spans="1:9" x14ac:dyDescent="0.3">
      <c r="A174" s="2" t="str">
        <f>HYPERLINK("https://www.pcpacanada.ca/negotiation/21147", "Lenvima  (lenvatinib)")</f>
        <v>Lenvima  (lenvatinib)</v>
      </c>
      <c r="B174" t="s">
        <v>224</v>
      </c>
      <c r="C174" t="s">
        <v>2893</v>
      </c>
      <c r="D174" t="s">
        <v>509</v>
      </c>
      <c r="E174" t="s">
        <v>3227</v>
      </c>
      <c r="F174" t="s">
        <v>224</v>
      </c>
      <c r="G174" t="s">
        <v>3228</v>
      </c>
      <c r="H174" s="3">
        <v>43735</v>
      </c>
      <c r="I174" s="3">
        <v>43777</v>
      </c>
    </row>
    <row r="175" spans="1:9" x14ac:dyDescent="0.3">
      <c r="A175" s="2" t="str">
        <f>HYPERLINK("https://www.pcpacanada.ca/negotiation/21146", "Darzalex  (daratumumab)")</f>
        <v>Darzalex  (daratumumab)</v>
      </c>
      <c r="B175" t="s">
        <v>665</v>
      </c>
      <c r="C175" t="s">
        <v>2900</v>
      </c>
      <c r="D175" t="s">
        <v>3229</v>
      </c>
      <c r="E175" t="s">
        <v>3230</v>
      </c>
      <c r="F175" t="s">
        <v>665</v>
      </c>
      <c r="G175" t="s">
        <v>3231</v>
      </c>
      <c r="H175" s="3">
        <v>43798</v>
      </c>
      <c r="I175" s="3" t="s">
        <v>2880</v>
      </c>
    </row>
    <row r="176" spans="1:9" x14ac:dyDescent="0.3">
      <c r="A176" s="2" t="str">
        <f>HYPERLINK("https://www.pcpacanada.ca/negotiation/21144", "Lutathera  (lutetium 177 dotatate)")</f>
        <v>Lutathera  (lutetium 177 dotatate)</v>
      </c>
      <c r="B176" t="s">
        <v>1499</v>
      </c>
      <c r="C176" t="s">
        <v>3082</v>
      </c>
      <c r="D176" t="s">
        <v>3151</v>
      </c>
      <c r="E176" t="s">
        <v>3232</v>
      </c>
      <c r="F176" t="s">
        <v>1499</v>
      </c>
      <c r="G176" t="s">
        <v>3233</v>
      </c>
      <c r="H176" s="3">
        <v>43734</v>
      </c>
      <c r="I176" s="3">
        <v>43829</v>
      </c>
    </row>
    <row r="177" spans="1:9" x14ac:dyDescent="0.3">
      <c r="A177" s="2" t="str">
        <f>HYPERLINK("https://www.pcpacanada.ca/negotiation/21143", "Alunbrig  (brigatinib)")</f>
        <v>Alunbrig  (brigatinib)</v>
      </c>
      <c r="B177" t="s">
        <v>243</v>
      </c>
      <c r="C177" t="s">
        <v>2908</v>
      </c>
      <c r="D177" t="s">
        <v>3070</v>
      </c>
      <c r="E177" t="s">
        <v>3234</v>
      </c>
      <c r="F177" t="s">
        <v>243</v>
      </c>
      <c r="G177" t="s">
        <v>3235</v>
      </c>
      <c r="H177" s="3" t="s">
        <v>2880</v>
      </c>
      <c r="I177" s="3">
        <v>43713</v>
      </c>
    </row>
    <row r="178" spans="1:9" x14ac:dyDescent="0.3">
      <c r="A178" s="2" t="str">
        <f>HYPERLINK("https://www.pcpacanada.ca/negotiation/21142", "Ninlaro  (ixazomib)")</f>
        <v>Ninlaro  (ixazomib)</v>
      </c>
      <c r="B178" t="s">
        <v>243</v>
      </c>
      <c r="C178" t="s">
        <v>2908</v>
      </c>
      <c r="D178" t="s">
        <v>663</v>
      </c>
      <c r="E178" t="s">
        <v>3236</v>
      </c>
      <c r="F178" t="s">
        <v>243</v>
      </c>
      <c r="G178" t="s">
        <v>3237</v>
      </c>
      <c r="H178" s="3" t="s">
        <v>2880</v>
      </c>
      <c r="I178" s="3">
        <v>43679</v>
      </c>
    </row>
    <row r="179" spans="1:9" x14ac:dyDescent="0.3">
      <c r="A179" s="2" t="str">
        <f>HYPERLINK("https://www.pcpacanada.ca/negotiation/21141", "Verzenio  (abemaciclib)")</f>
        <v>Verzenio  (abemaciclib)</v>
      </c>
      <c r="B179" t="s">
        <v>133</v>
      </c>
      <c r="C179" t="s">
        <v>3082</v>
      </c>
      <c r="D179" t="s">
        <v>1266</v>
      </c>
      <c r="E179" t="s">
        <v>3238</v>
      </c>
      <c r="F179" t="s">
        <v>133</v>
      </c>
      <c r="G179" t="s">
        <v>3239</v>
      </c>
      <c r="H179" s="3">
        <v>43738</v>
      </c>
      <c r="I179" s="3">
        <v>43930</v>
      </c>
    </row>
    <row r="180" spans="1:9" x14ac:dyDescent="0.3">
      <c r="A180" s="2" t="str">
        <f>HYPERLINK("https://www.pcpacanada.ca/negotiation/21140", "Vizimpro  (dacomitinib)")</f>
        <v>Vizimpro  (dacomitinib)</v>
      </c>
      <c r="B180" t="s">
        <v>445</v>
      </c>
      <c r="C180" t="s">
        <v>3082</v>
      </c>
      <c r="D180" t="s">
        <v>3070</v>
      </c>
      <c r="E180" t="s">
        <v>3240</v>
      </c>
      <c r="F180" t="s">
        <v>445</v>
      </c>
      <c r="G180" t="s">
        <v>3241</v>
      </c>
      <c r="H180" s="3">
        <v>43690</v>
      </c>
      <c r="I180" s="3">
        <v>43872</v>
      </c>
    </row>
    <row r="181" spans="1:9" x14ac:dyDescent="0.3">
      <c r="A181" s="2" t="str">
        <f>HYPERLINK("https://www.pcpacanada.ca/negotiation/21139", "Keytruda  (pembrolizumab)")</f>
        <v>Keytruda  (pembrolizumab)</v>
      </c>
      <c r="B181" t="s">
        <v>289</v>
      </c>
      <c r="C181" t="s">
        <v>2908</v>
      </c>
      <c r="D181" t="s">
        <v>3242</v>
      </c>
      <c r="E181" t="s">
        <v>3243</v>
      </c>
      <c r="F181" t="s">
        <v>289</v>
      </c>
      <c r="G181" t="s">
        <v>3244</v>
      </c>
      <c r="H181" s="3">
        <v>43798</v>
      </c>
      <c r="I181" s="3">
        <v>43798</v>
      </c>
    </row>
    <row r="182" spans="1:9" x14ac:dyDescent="0.3">
      <c r="A182" s="2" t="str">
        <f>HYPERLINK("https://www.pcpacanada.ca/negotiation/21138", "Keytruda  (pembrolizumab)")</f>
        <v>Keytruda  (pembrolizumab)</v>
      </c>
      <c r="B182" t="s">
        <v>289</v>
      </c>
      <c r="C182" t="s">
        <v>2893</v>
      </c>
      <c r="D182" t="s">
        <v>3245</v>
      </c>
      <c r="E182" t="s">
        <v>3246</v>
      </c>
      <c r="F182" t="s">
        <v>289</v>
      </c>
      <c r="G182" t="s">
        <v>3247</v>
      </c>
      <c r="H182" s="3">
        <v>43721</v>
      </c>
      <c r="I182" s="3">
        <v>43936</v>
      </c>
    </row>
    <row r="183" spans="1:9" x14ac:dyDescent="0.3">
      <c r="A183" s="2" t="str">
        <f>HYPERLINK("https://www.pcpacanada.ca/negotiation/21137", "Keytruda  (pembrolizumab)")</f>
        <v>Keytruda  (pembrolizumab)</v>
      </c>
      <c r="B183" t="s">
        <v>289</v>
      </c>
      <c r="C183" t="s">
        <v>2893</v>
      </c>
      <c r="D183" t="s">
        <v>3070</v>
      </c>
      <c r="E183" t="s">
        <v>3248</v>
      </c>
      <c r="F183" t="s">
        <v>289</v>
      </c>
      <c r="G183" t="s">
        <v>3249</v>
      </c>
      <c r="H183" s="3">
        <v>43690</v>
      </c>
      <c r="I183" s="3">
        <v>43936</v>
      </c>
    </row>
    <row r="184" spans="1:9" x14ac:dyDescent="0.3">
      <c r="A184" s="2" t="str">
        <f>HYPERLINK("https://www.pcpacanada.ca/negotiation/21136", "Venclexta/rituximab  (venetoclax/rituximab)")</f>
        <v>Venclexta/rituximab  (venetoclax/rituximab)</v>
      </c>
      <c r="B184" t="s">
        <v>725</v>
      </c>
      <c r="C184" t="s">
        <v>2893</v>
      </c>
      <c r="D184" t="s">
        <v>3007</v>
      </c>
      <c r="E184" t="s">
        <v>3250</v>
      </c>
      <c r="F184" t="s">
        <v>725</v>
      </c>
      <c r="G184" t="s">
        <v>3251</v>
      </c>
      <c r="H184" s="3">
        <v>43642</v>
      </c>
      <c r="I184" s="3">
        <v>43766</v>
      </c>
    </row>
    <row r="185" spans="1:9" x14ac:dyDescent="0.3">
      <c r="A185" s="2" t="str">
        <f>HYPERLINK("https://www.pcpacanada.ca/negotiation/21135", "Xalkori  (crizotinib)")</f>
        <v>Xalkori  (crizotinib)</v>
      </c>
      <c r="B185" t="s">
        <v>445</v>
      </c>
      <c r="C185" t="s">
        <v>2893</v>
      </c>
      <c r="D185" t="s">
        <v>3252</v>
      </c>
      <c r="E185" t="s">
        <v>3253</v>
      </c>
      <c r="F185" t="s">
        <v>445</v>
      </c>
      <c r="G185" t="s">
        <v>3254</v>
      </c>
      <c r="H185" s="3">
        <v>43704</v>
      </c>
      <c r="I185" s="3">
        <v>43910</v>
      </c>
    </row>
    <row r="186" spans="1:9" x14ac:dyDescent="0.3">
      <c r="A186" s="2" t="str">
        <f>HYPERLINK("https://www.pcpacanada.ca/negotiation/21134", "Ibrance/fulvestrant  (palbociclib/fulvestrant)")</f>
        <v>Ibrance/fulvestrant  (palbociclib/fulvestrant)</v>
      </c>
      <c r="B186" t="s">
        <v>445</v>
      </c>
      <c r="C186" t="s">
        <v>2893</v>
      </c>
      <c r="D186" t="s">
        <v>1266</v>
      </c>
      <c r="E186" t="s">
        <v>3255</v>
      </c>
      <c r="F186" t="s">
        <v>445</v>
      </c>
      <c r="G186" t="s">
        <v>3256</v>
      </c>
      <c r="H186" s="3">
        <v>43691</v>
      </c>
      <c r="I186" s="3">
        <v>43929</v>
      </c>
    </row>
    <row r="187" spans="1:9" x14ac:dyDescent="0.3">
      <c r="A187" s="2" t="str">
        <f>HYPERLINK("https://www.pcpacanada.ca/negotiation/21133", "Imfinzi  (durvalumab)")</f>
        <v>Imfinzi  (durvalumab)</v>
      </c>
      <c r="B187" t="s">
        <v>465</v>
      </c>
      <c r="C187" t="s">
        <v>2893</v>
      </c>
      <c r="D187" t="s">
        <v>3257</v>
      </c>
      <c r="E187" t="s">
        <v>3258</v>
      </c>
      <c r="F187" t="s">
        <v>465</v>
      </c>
      <c r="G187" t="s">
        <v>3259</v>
      </c>
      <c r="H187" s="3">
        <v>43654</v>
      </c>
      <c r="I187" s="3">
        <v>43703</v>
      </c>
    </row>
    <row r="188" spans="1:9" x14ac:dyDescent="0.3">
      <c r="A188" s="2" t="str">
        <f>HYPERLINK("https://www.pcpacanada.ca/negotiation/21132", "Tafinlar/Mekinist  (dabrafenib/trametinib)")</f>
        <v>Tafinlar/Mekinist  (dabrafenib/trametinib)</v>
      </c>
      <c r="B188" t="s">
        <v>71</v>
      </c>
      <c r="C188" t="s">
        <v>2893</v>
      </c>
      <c r="D188" t="s">
        <v>3245</v>
      </c>
      <c r="E188" t="s">
        <v>3260</v>
      </c>
      <c r="F188" t="s">
        <v>71</v>
      </c>
      <c r="G188" t="s">
        <v>3261</v>
      </c>
      <c r="H188" s="3">
        <v>43627</v>
      </c>
      <c r="I188" s="3">
        <v>43707</v>
      </c>
    </row>
    <row r="189" spans="1:9" x14ac:dyDescent="0.3">
      <c r="A189" s="2" t="str">
        <f>HYPERLINK("https://www.pcpacanada.ca/negotiation/21131", "Trazimera  (trastuzumab)")</f>
        <v>Trazimera  (trastuzumab)</v>
      </c>
      <c r="B189" t="s">
        <v>445</v>
      </c>
      <c r="C189" t="s">
        <v>2893</v>
      </c>
      <c r="D189" t="s">
        <v>3133</v>
      </c>
      <c r="E189" t="s">
        <v>3262</v>
      </c>
      <c r="F189" t="s">
        <v>445</v>
      </c>
      <c r="G189" t="s">
        <v>2880</v>
      </c>
      <c r="H189" s="3">
        <v>43616</v>
      </c>
      <c r="I189" s="3">
        <v>43755</v>
      </c>
    </row>
    <row r="190" spans="1:9" x14ac:dyDescent="0.3">
      <c r="A190" s="2" t="str">
        <f>HYPERLINK("https://www.pcpacanada.ca/negotiation/21130", "Herzuma  (trastuzumab)")</f>
        <v>Herzuma  (trastuzumab)</v>
      </c>
      <c r="B190" t="s">
        <v>3093</v>
      </c>
      <c r="C190" t="s">
        <v>2893</v>
      </c>
      <c r="D190" t="s">
        <v>3133</v>
      </c>
      <c r="E190" t="s">
        <v>3263</v>
      </c>
      <c r="F190" t="s">
        <v>3093</v>
      </c>
      <c r="G190" t="s">
        <v>2880</v>
      </c>
      <c r="H190" s="3">
        <v>43616</v>
      </c>
      <c r="I190" s="3">
        <v>43782</v>
      </c>
    </row>
    <row r="191" spans="1:9" x14ac:dyDescent="0.3">
      <c r="A191" s="2" t="str">
        <f>HYPERLINK("https://www.pcpacanada.ca/negotiation/21129", "Ogivri  (trastuzumab)")</f>
        <v>Ogivri  (trastuzumab)</v>
      </c>
      <c r="B191" t="s">
        <v>1687</v>
      </c>
      <c r="C191" t="s">
        <v>2893</v>
      </c>
      <c r="D191" t="s">
        <v>3133</v>
      </c>
      <c r="E191" t="s">
        <v>3264</v>
      </c>
      <c r="F191" t="s">
        <v>1687</v>
      </c>
      <c r="G191" t="s">
        <v>2880</v>
      </c>
      <c r="H191" s="3">
        <v>43615</v>
      </c>
      <c r="I191" s="3">
        <v>43741</v>
      </c>
    </row>
    <row r="192" spans="1:9" x14ac:dyDescent="0.3">
      <c r="A192" s="2" t="str">
        <f>HYPERLINK("https://www.pcpacanada.ca/negotiation/21127", "Opsumit  (macitentan)")</f>
        <v>Opsumit  (macitentan)</v>
      </c>
      <c r="B192" t="s">
        <v>3265</v>
      </c>
      <c r="C192" t="s">
        <v>2893</v>
      </c>
      <c r="D192" t="s">
        <v>3266</v>
      </c>
      <c r="E192" t="s">
        <v>3267</v>
      </c>
      <c r="F192" t="s">
        <v>3265</v>
      </c>
      <c r="G192" t="s">
        <v>2880</v>
      </c>
      <c r="H192" s="3">
        <v>43677</v>
      </c>
      <c r="I192" s="3">
        <v>44188</v>
      </c>
    </row>
    <row r="193" spans="1:9" x14ac:dyDescent="0.3">
      <c r="A193" s="2" t="str">
        <f>HYPERLINK("https://www.pcpacanada.ca/negotiation/21126", "Brilinta  (ticagrelor)")</f>
        <v>Brilinta  (ticagrelor)</v>
      </c>
      <c r="B193" t="s">
        <v>465</v>
      </c>
      <c r="C193" t="s">
        <v>2893</v>
      </c>
      <c r="D193" t="s">
        <v>3268</v>
      </c>
      <c r="E193" t="s">
        <v>3269</v>
      </c>
      <c r="F193" t="s">
        <v>465</v>
      </c>
      <c r="G193" t="s">
        <v>2880</v>
      </c>
      <c r="H193" s="3">
        <v>43602</v>
      </c>
      <c r="I193" s="3">
        <v>43635</v>
      </c>
    </row>
    <row r="194" spans="1:9" x14ac:dyDescent="0.3">
      <c r="A194" s="2" t="str">
        <f>HYPERLINK("https://www.pcpacanada.ca/negotiation/21125", "Triamcinolone Hexacetonide  (triamcinolone hexacetonide)")</f>
        <v>Triamcinolone Hexacetonide  (triamcinolone hexacetonide)</v>
      </c>
      <c r="B194" t="s">
        <v>3089</v>
      </c>
      <c r="C194" t="s">
        <v>2893</v>
      </c>
      <c r="D194" t="s">
        <v>3142</v>
      </c>
      <c r="E194" t="s">
        <v>3270</v>
      </c>
      <c r="F194" t="s">
        <v>3089</v>
      </c>
      <c r="G194" t="s">
        <v>2880</v>
      </c>
      <c r="H194" s="3">
        <v>43791</v>
      </c>
      <c r="I194" s="3">
        <v>43921</v>
      </c>
    </row>
    <row r="195" spans="1:9" x14ac:dyDescent="0.3">
      <c r="A195" s="2" t="str">
        <f>HYPERLINK("https://www.pcpacanada.ca/negotiation/21123", "Skyrizi  (risankizumab)")</f>
        <v>Skyrizi  (risankizumab)</v>
      </c>
      <c r="B195" t="s">
        <v>725</v>
      </c>
      <c r="C195" t="s">
        <v>2893</v>
      </c>
      <c r="D195" t="s">
        <v>607</v>
      </c>
      <c r="E195" t="s">
        <v>3271</v>
      </c>
      <c r="F195" t="s">
        <v>725</v>
      </c>
      <c r="G195" t="s">
        <v>2141</v>
      </c>
      <c r="H195" s="3">
        <v>43643</v>
      </c>
      <c r="I195" s="3">
        <v>43797</v>
      </c>
    </row>
    <row r="196" spans="1:9" x14ac:dyDescent="0.3">
      <c r="A196" s="2" t="str">
        <f>HYPERLINK("https://www.pcpacanada.ca/negotiation/21122", "Vyzulta  (latanoprostene bunod)")</f>
        <v>Vyzulta  (latanoprostene bunod)</v>
      </c>
      <c r="B196" t="s">
        <v>593</v>
      </c>
      <c r="C196" t="s">
        <v>2893</v>
      </c>
      <c r="D196" t="s">
        <v>3272</v>
      </c>
      <c r="E196" t="s">
        <v>3273</v>
      </c>
      <c r="F196" t="s">
        <v>593</v>
      </c>
      <c r="G196" t="s">
        <v>2665</v>
      </c>
      <c r="H196" s="3">
        <v>43707</v>
      </c>
      <c r="I196" s="3">
        <v>43789</v>
      </c>
    </row>
    <row r="197" spans="1:9" x14ac:dyDescent="0.3">
      <c r="A197" s="2" t="str">
        <f>HYPERLINK("https://www.pcpacanada.ca/negotiation/21121", "Blincyto  (blinatumomab)")</f>
        <v>Blincyto  (blinatumomab)</v>
      </c>
      <c r="B197" t="s">
        <v>407</v>
      </c>
      <c r="C197" t="s">
        <v>2893</v>
      </c>
      <c r="D197" t="s">
        <v>409</v>
      </c>
      <c r="E197" t="s">
        <v>3274</v>
      </c>
      <c r="F197" t="s">
        <v>407</v>
      </c>
      <c r="G197" t="s">
        <v>3275</v>
      </c>
      <c r="H197" s="3">
        <v>43650</v>
      </c>
      <c r="I197" s="3">
        <v>43733</v>
      </c>
    </row>
    <row r="198" spans="1:9" x14ac:dyDescent="0.3">
      <c r="A198" s="2" t="str">
        <f>HYPERLINK("https://www.pcpacanada.ca/negotiation/21120", "Folotyn  (pralatrexate)")</f>
        <v>Folotyn  (pralatrexate)</v>
      </c>
      <c r="B198" t="s">
        <v>372</v>
      </c>
      <c r="C198" t="s">
        <v>2893</v>
      </c>
      <c r="D198" t="s">
        <v>1204</v>
      </c>
      <c r="E198" t="s">
        <v>3276</v>
      </c>
      <c r="F198" t="s">
        <v>372</v>
      </c>
      <c r="G198" t="s">
        <v>3277</v>
      </c>
      <c r="H198" s="3">
        <v>43622</v>
      </c>
      <c r="I198" s="3">
        <v>43840</v>
      </c>
    </row>
    <row r="199" spans="1:9" x14ac:dyDescent="0.3">
      <c r="A199" s="2" t="str">
        <f>HYPERLINK("https://www.pcpacanada.ca/negotiation/21119", "Botox  (onabotulinumtoxin a)")</f>
        <v>Botox  (onabotulinumtoxin a)</v>
      </c>
      <c r="B199" t="s">
        <v>434</v>
      </c>
      <c r="C199" t="s">
        <v>3082</v>
      </c>
      <c r="D199" t="s">
        <v>3074</v>
      </c>
      <c r="E199" t="s">
        <v>3278</v>
      </c>
      <c r="F199" t="s">
        <v>434</v>
      </c>
      <c r="G199" t="s">
        <v>437</v>
      </c>
      <c r="H199" s="3">
        <v>43881</v>
      </c>
      <c r="I199" s="3">
        <v>44456</v>
      </c>
    </row>
    <row r="200" spans="1:9" x14ac:dyDescent="0.3">
      <c r="A200" s="2" t="str">
        <f>HYPERLINK("https://www.pcpacanada.ca/negotiation/21118", "Xermelo  (telotristat)")</f>
        <v>Xermelo  (telotristat)</v>
      </c>
      <c r="B200" t="s">
        <v>3108</v>
      </c>
      <c r="C200" t="s">
        <v>2908</v>
      </c>
      <c r="D200" t="s">
        <v>3279</v>
      </c>
      <c r="E200" t="s">
        <v>3280</v>
      </c>
      <c r="F200" t="s">
        <v>3108</v>
      </c>
      <c r="G200" t="s">
        <v>2720</v>
      </c>
      <c r="H200" s="3">
        <v>43658</v>
      </c>
      <c r="I200" s="3">
        <v>43658</v>
      </c>
    </row>
    <row r="201" spans="1:9" x14ac:dyDescent="0.3">
      <c r="A201" s="2" t="str">
        <f>HYPERLINK("https://www.pcpacanada.ca/negotiation/21117", "Jublia  (efinaconazole)")</f>
        <v>Jublia  (efinaconazole)</v>
      </c>
      <c r="B201" t="s">
        <v>593</v>
      </c>
      <c r="C201" t="s">
        <v>2908</v>
      </c>
      <c r="D201" t="s">
        <v>3281</v>
      </c>
      <c r="E201" t="s">
        <v>3282</v>
      </c>
      <c r="F201" t="s">
        <v>593</v>
      </c>
      <c r="G201" t="s">
        <v>1249</v>
      </c>
      <c r="H201" s="3">
        <v>43635</v>
      </c>
      <c r="I201" s="3">
        <v>43635</v>
      </c>
    </row>
    <row r="202" spans="1:9" x14ac:dyDescent="0.3">
      <c r="A202" s="2" t="str">
        <f>HYPERLINK("https://www.pcpacanada.ca/negotiation/21116", "Pifletro  (doravirine)")</f>
        <v>Pifletro  (doravirine)</v>
      </c>
      <c r="B202" t="s">
        <v>289</v>
      </c>
      <c r="C202" t="s">
        <v>2893</v>
      </c>
      <c r="D202" t="s">
        <v>1909</v>
      </c>
      <c r="E202" t="s">
        <v>3283</v>
      </c>
      <c r="F202" t="s">
        <v>289</v>
      </c>
      <c r="G202" t="s">
        <v>1869</v>
      </c>
      <c r="H202" s="3">
        <v>43630</v>
      </c>
      <c r="I202" s="3">
        <v>43753</v>
      </c>
    </row>
    <row r="203" spans="1:9" x14ac:dyDescent="0.3">
      <c r="A203" s="2" t="str">
        <f>HYPERLINK("https://www.pcpacanada.ca/negotiation/21115", "Delstrigo  (doravirine/lamuvidine/tenofovir disoproxil fumarate)")</f>
        <v>Delstrigo  (doravirine/lamuvidine/tenofovir disoproxil fumarate)</v>
      </c>
      <c r="B203" t="s">
        <v>289</v>
      </c>
      <c r="C203" t="s">
        <v>2893</v>
      </c>
      <c r="D203" t="s">
        <v>1909</v>
      </c>
      <c r="E203" t="s">
        <v>3284</v>
      </c>
      <c r="F203" t="s">
        <v>289</v>
      </c>
      <c r="G203" t="s">
        <v>691</v>
      </c>
      <c r="H203" s="3">
        <v>43630</v>
      </c>
      <c r="I203" s="3">
        <v>43753</v>
      </c>
    </row>
    <row r="204" spans="1:9" x14ac:dyDescent="0.3">
      <c r="A204" s="2" t="str">
        <f>HYPERLINK("https://www.pcpacanada.ca/negotiation/21114", "Cresemba  (isavuconazole)")</f>
        <v>Cresemba  (isavuconazole)</v>
      </c>
      <c r="B204" t="s">
        <v>622</v>
      </c>
      <c r="C204" t="s">
        <v>2893</v>
      </c>
      <c r="D204" t="s">
        <v>620</v>
      </c>
      <c r="E204" t="s">
        <v>3285</v>
      </c>
      <c r="F204" t="s">
        <v>622</v>
      </c>
      <c r="G204" t="s">
        <v>621</v>
      </c>
      <c r="H204" s="3">
        <v>43661</v>
      </c>
      <c r="I204" s="3">
        <v>43794</v>
      </c>
    </row>
    <row r="205" spans="1:9" x14ac:dyDescent="0.3">
      <c r="A205" s="2" t="str">
        <f>HYPERLINK("https://www.pcpacanada.ca/negotiation/21113", "Unituxin  (dinutuximab)")</f>
        <v>Unituxin  (dinutuximab)</v>
      </c>
      <c r="B205" t="s">
        <v>2926</v>
      </c>
      <c r="C205" t="s">
        <v>2893</v>
      </c>
      <c r="D205" t="s">
        <v>3286</v>
      </c>
      <c r="E205" t="s">
        <v>3287</v>
      </c>
      <c r="F205" t="s">
        <v>2926</v>
      </c>
      <c r="G205" t="s">
        <v>3288</v>
      </c>
      <c r="H205" s="3">
        <v>43593</v>
      </c>
      <c r="I205" s="3">
        <v>43707</v>
      </c>
    </row>
    <row r="206" spans="1:9" x14ac:dyDescent="0.3">
      <c r="A206" s="2" t="str">
        <f>HYPERLINK("https://www.pcpacanada.ca/negotiation/21112", "Xtandi  (enzalutamide)")</f>
        <v>Xtandi  (enzalutamide)</v>
      </c>
      <c r="B206" t="s">
        <v>3062</v>
      </c>
      <c r="C206" t="s">
        <v>2893</v>
      </c>
      <c r="D206" t="s">
        <v>3102</v>
      </c>
      <c r="E206" t="s">
        <v>3289</v>
      </c>
      <c r="F206" t="s">
        <v>3062</v>
      </c>
      <c r="G206" t="s">
        <v>3290</v>
      </c>
      <c r="H206" s="3">
        <v>43677</v>
      </c>
      <c r="I206" s="3">
        <v>43887</v>
      </c>
    </row>
    <row r="207" spans="1:9" x14ac:dyDescent="0.3">
      <c r="A207" s="2" t="str">
        <f>HYPERLINK("https://www.pcpacanada.ca/negotiation/21111", "Opdivo  (nivolumab)")</f>
        <v>Opdivo  (nivolumab)</v>
      </c>
      <c r="B207" t="s">
        <v>658</v>
      </c>
      <c r="C207" t="s">
        <v>2893</v>
      </c>
      <c r="D207" t="s">
        <v>3245</v>
      </c>
      <c r="E207" t="s">
        <v>3291</v>
      </c>
      <c r="F207" t="s">
        <v>658</v>
      </c>
      <c r="G207" t="s">
        <v>3292</v>
      </c>
      <c r="H207" s="3">
        <v>43642</v>
      </c>
      <c r="I207" s="3">
        <v>43714</v>
      </c>
    </row>
    <row r="208" spans="1:9" x14ac:dyDescent="0.3">
      <c r="A208" s="2" t="str">
        <f>HYPERLINK("https://www.pcpacanada.ca/negotiation/21110", "Adcetris  (brentuximab vedotin)")</f>
        <v>Adcetris  (brentuximab vedotin)</v>
      </c>
      <c r="B208" t="s">
        <v>116</v>
      </c>
      <c r="C208" t="s">
        <v>2908</v>
      </c>
      <c r="D208" t="s">
        <v>3009</v>
      </c>
      <c r="E208" t="s">
        <v>3293</v>
      </c>
      <c r="F208" t="s">
        <v>116</v>
      </c>
      <c r="G208" t="s">
        <v>3294</v>
      </c>
      <c r="H208" s="3" t="s">
        <v>2880</v>
      </c>
      <c r="I208" s="3">
        <v>43602</v>
      </c>
    </row>
    <row r="209" spans="1:9" x14ac:dyDescent="0.3">
      <c r="A209" s="2" t="str">
        <f>HYPERLINK("https://www.pcpacanada.ca/negotiation/21109", "Radicava  (edaravone)")</f>
        <v>Radicava  (edaravone)</v>
      </c>
      <c r="B209" t="s">
        <v>1951</v>
      </c>
      <c r="C209" t="s">
        <v>2893</v>
      </c>
      <c r="D209" t="s">
        <v>1949</v>
      </c>
      <c r="E209" t="s">
        <v>3295</v>
      </c>
      <c r="F209" t="s">
        <v>1951</v>
      </c>
      <c r="G209" t="s">
        <v>1950</v>
      </c>
      <c r="H209" s="3">
        <v>43732</v>
      </c>
      <c r="I209" s="3">
        <v>43936</v>
      </c>
    </row>
    <row r="210" spans="1:9" x14ac:dyDescent="0.3">
      <c r="A210" s="2" t="str">
        <f>HYPERLINK("https://www.pcpacanada.ca/negotiation/21108", "Eucrisa  (crisaborole)")</f>
        <v>Eucrisa  (crisaborole)</v>
      </c>
      <c r="B210" t="s">
        <v>445</v>
      </c>
      <c r="C210" t="s">
        <v>2908</v>
      </c>
      <c r="D210" t="s">
        <v>3115</v>
      </c>
      <c r="E210" t="s">
        <v>3296</v>
      </c>
      <c r="F210" t="s">
        <v>445</v>
      </c>
      <c r="G210" t="s">
        <v>856</v>
      </c>
      <c r="H210" s="3">
        <v>43571</v>
      </c>
      <c r="I210" s="3">
        <v>43571</v>
      </c>
    </row>
    <row r="211" spans="1:9" x14ac:dyDescent="0.3">
      <c r="A211" s="2" t="str">
        <f>HYPERLINK("https://www.pcpacanada.ca/negotiation/21107", "Brineura  (cerliponase alfa)")</f>
        <v>Brineura  (cerliponase alfa)</v>
      </c>
      <c r="B211" t="s">
        <v>3297</v>
      </c>
      <c r="C211" t="s">
        <v>2893</v>
      </c>
      <c r="D211" t="s">
        <v>3298</v>
      </c>
      <c r="E211" t="s">
        <v>3299</v>
      </c>
      <c r="F211" t="s">
        <v>3297</v>
      </c>
      <c r="G211" t="s">
        <v>477</v>
      </c>
      <c r="H211" s="3">
        <v>43553</v>
      </c>
      <c r="I211" s="3">
        <v>43852</v>
      </c>
    </row>
    <row r="212" spans="1:9" x14ac:dyDescent="0.3">
      <c r="A212" s="2" t="str">
        <f>HYPERLINK("https://www.pcpacanada.ca/negotiation/21106", "Kalydeco  (ivacaftor)")</f>
        <v>Kalydeco  (ivacaftor)</v>
      </c>
      <c r="B212" t="s">
        <v>1279</v>
      </c>
      <c r="C212" t="s">
        <v>2893</v>
      </c>
      <c r="D212" t="s">
        <v>3097</v>
      </c>
      <c r="E212" t="s">
        <v>3300</v>
      </c>
      <c r="F212" t="s">
        <v>1279</v>
      </c>
      <c r="G212" t="s">
        <v>2880</v>
      </c>
      <c r="H212" s="3">
        <v>43553</v>
      </c>
      <c r="I212" s="3">
        <v>43663</v>
      </c>
    </row>
    <row r="213" spans="1:9" x14ac:dyDescent="0.3">
      <c r="A213" s="2" t="str">
        <f>HYPERLINK("https://www.pcpacanada.ca/negotiation/21105", "Zirabev  (bevacizumab)")</f>
        <v>Zirabev  (bevacizumab)</v>
      </c>
      <c r="B213" t="s">
        <v>445</v>
      </c>
      <c r="C213" t="s">
        <v>2893</v>
      </c>
      <c r="D213" t="s">
        <v>3301</v>
      </c>
      <c r="E213" t="s">
        <v>3302</v>
      </c>
      <c r="F213" t="s">
        <v>445</v>
      </c>
      <c r="G213" t="s">
        <v>2880</v>
      </c>
      <c r="H213" s="3">
        <v>43536</v>
      </c>
      <c r="I213" s="3">
        <v>43705</v>
      </c>
    </row>
    <row r="214" spans="1:9" x14ac:dyDescent="0.3">
      <c r="A214" s="2" t="str">
        <f>HYPERLINK("https://www.pcpacanada.ca/negotiation/21104", "Spinraza  (nusinersen)")</f>
        <v>Spinraza  (nusinersen)</v>
      </c>
      <c r="B214" t="s">
        <v>1874</v>
      </c>
      <c r="C214" t="s">
        <v>2893</v>
      </c>
      <c r="D214" t="s">
        <v>2170</v>
      </c>
      <c r="E214" t="s">
        <v>3303</v>
      </c>
      <c r="F214" t="s">
        <v>1874</v>
      </c>
      <c r="G214" t="s">
        <v>2173</v>
      </c>
      <c r="H214" s="3">
        <v>43580</v>
      </c>
      <c r="I214" s="3">
        <v>43642</v>
      </c>
    </row>
    <row r="215" spans="1:9" x14ac:dyDescent="0.3">
      <c r="A215" s="2" t="str">
        <f>HYPERLINK("https://www.pcpacanada.ca/negotiation/21103", "Xeljanz  (tofacitinib)")</f>
        <v>Xeljanz  (tofacitinib)</v>
      </c>
      <c r="B215" t="s">
        <v>445</v>
      </c>
      <c r="C215" t="s">
        <v>2893</v>
      </c>
      <c r="D215" t="s">
        <v>599</v>
      </c>
      <c r="E215" t="s">
        <v>3304</v>
      </c>
      <c r="F215" t="s">
        <v>445</v>
      </c>
      <c r="G215" t="s">
        <v>2704</v>
      </c>
      <c r="H215" s="3">
        <v>43651</v>
      </c>
      <c r="I215" s="3">
        <v>44036</v>
      </c>
    </row>
    <row r="216" spans="1:9" x14ac:dyDescent="0.3">
      <c r="A216" s="2" t="str">
        <f>HYPERLINK("https://www.pcpacanada.ca/negotiation/21102", "Cabometyx  (cabozantinib)")</f>
        <v>Cabometyx  (cabozantinib)</v>
      </c>
      <c r="B216" t="s">
        <v>3108</v>
      </c>
      <c r="C216" t="s">
        <v>2893</v>
      </c>
      <c r="D216" t="s">
        <v>3163</v>
      </c>
      <c r="E216" t="s">
        <v>3305</v>
      </c>
      <c r="F216" t="s">
        <v>3108</v>
      </c>
      <c r="G216" t="s">
        <v>3306</v>
      </c>
      <c r="H216" s="3">
        <v>43623</v>
      </c>
      <c r="I216" s="3">
        <v>43774</v>
      </c>
    </row>
    <row r="217" spans="1:9" x14ac:dyDescent="0.3">
      <c r="A217" s="2" t="str">
        <f>HYPERLINK("https://www.pcpacanada.ca/negotiation/21101", "Mvasi  (bevacizumab)")</f>
        <v>Mvasi  (bevacizumab)</v>
      </c>
      <c r="B217" t="s">
        <v>407</v>
      </c>
      <c r="C217" t="s">
        <v>2893</v>
      </c>
      <c r="D217" t="s">
        <v>3301</v>
      </c>
      <c r="E217" t="s">
        <v>3307</v>
      </c>
      <c r="F217" t="s">
        <v>407</v>
      </c>
      <c r="G217" t="s">
        <v>3308</v>
      </c>
      <c r="H217" s="3">
        <v>43524</v>
      </c>
      <c r="I217" s="3">
        <v>43654</v>
      </c>
    </row>
    <row r="218" spans="1:9" x14ac:dyDescent="0.3">
      <c r="A218" s="2" t="str">
        <f>HYPERLINK("https://www.pcpacanada.ca/negotiation/21100", "Ella  (ulipristal acetate)")</f>
        <v>Ella  (ulipristal acetate)</v>
      </c>
      <c r="B218" t="s">
        <v>434</v>
      </c>
      <c r="C218" t="s">
        <v>2893</v>
      </c>
      <c r="D218" t="s">
        <v>3054</v>
      </c>
      <c r="E218" t="s">
        <v>3309</v>
      </c>
      <c r="F218" t="s">
        <v>434</v>
      </c>
      <c r="G218" t="s">
        <v>2880</v>
      </c>
      <c r="H218" s="3">
        <v>43518</v>
      </c>
      <c r="I218" s="3">
        <v>43637</v>
      </c>
    </row>
    <row r="219" spans="1:9" x14ac:dyDescent="0.3">
      <c r="A219" s="2" t="str">
        <f>HYPERLINK("https://www.pcpacanada.ca/negotiation/21099", "Segluromet  (ertugliflozin/metformin hydrochloride)")</f>
        <v>Segluromet  (ertugliflozin/metformin hydrochloride)</v>
      </c>
      <c r="B219" t="s">
        <v>289</v>
      </c>
      <c r="C219" t="s">
        <v>3082</v>
      </c>
      <c r="D219" t="s">
        <v>1192</v>
      </c>
      <c r="E219" t="s">
        <v>3310</v>
      </c>
      <c r="F219" t="s">
        <v>289</v>
      </c>
      <c r="G219" t="s">
        <v>2114</v>
      </c>
      <c r="H219" s="3">
        <v>43544</v>
      </c>
      <c r="I219" s="3">
        <v>43921</v>
      </c>
    </row>
    <row r="220" spans="1:9" x14ac:dyDescent="0.3">
      <c r="A220" s="2" t="str">
        <f>HYPERLINK("https://www.pcpacanada.ca/negotiation/21098", "Steglatro  (ertugliflozin)")</f>
        <v>Steglatro  (ertugliflozin)</v>
      </c>
      <c r="B220" t="s">
        <v>289</v>
      </c>
      <c r="C220" t="s">
        <v>3082</v>
      </c>
      <c r="D220" t="s">
        <v>1192</v>
      </c>
      <c r="E220" t="s">
        <v>3311</v>
      </c>
      <c r="F220" t="s">
        <v>289</v>
      </c>
      <c r="G220" t="s">
        <v>2186</v>
      </c>
      <c r="H220" s="3">
        <v>43544</v>
      </c>
      <c r="I220" s="3">
        <v>43921</v>
      </c>
    </row>
    <row r="221" spans="1:9" x14ac:dyDescent="0.3">
      <c r="A221" s="2" t="str">
        <f>HYPERLINK("https://www.pcpacanada.ca/negotiation/21097", "Fulphila  (pegfilgastrim)")</f>
        <v>Fulphila  (pegfilgastrim)</v>
      </c>
      <c r="B221" t="s">
        <v>1687</v>
      </c>
      <c r="C221" t="s">
        <v>2893</v>
      </c>
      <c r="D221" t="s">
        <v>3027</v>
      </c>
      <c r="E221" t="s">
        <v>3312</v>
      </c>
      <c r="F221" t="s">
        <v>1687</v>
      </c>
      <c r="G221" t="s">
        <v>950</v>
      </c>
      <c r="H221" s="3">
        <v>43524</v>
      </c>
      <c r="I221" s="3">
        <v>43731</v>
      </c>
    </row>
    <row r="222" spans="1:9" x14ac:dyDescent="0.3">
      <c r="A222" s="2" t="str">
        <f>HYPERLINK("https://www.pcpacanada.ca/negotiation/21096", "Xeljanz XR  (tofacitinib)")</f>
        <v>Xeljanz XR  (tofacitinib)</v>
      </c>
      <c r="B222" t="s">
        <v>445</v>
      </c>
      <c r="C222" t="s">
        <v>2893</v>
      </c>
      <c r="D222" t="s">
        <v>3142</v>
      </c>
      <c r="E222" t="s">
        <v>3313</v>
      </c>
      <c r="F222" t="s">
        <v>445</v>
      </c>
      <c r="G222" t="s">
        <v>2880</v>
      </c>
      <c r="H222" s="3">
        <v>43495</v>
      </c>
      <c r="I222" s="3">
        <v>43655</v>
      </c>
    </row>
    <row r="223" spans="1:9" x14ac:dyDescent="0.3">
      <c r="A223" s="2" t="str">
        <f>HYPERLINK("https://www.pcpacanada.ca/negotiation/21095", "Humira (citrate-free)  (adalimumab citrate-free)")</f>
        <v>Humira (citrate-free)  (adalimumab citrate-free)</v>
      </c>
      <c r="B223" t="s">
        <v>725</v>
      </c>
      <c r="C223" t="s">
        <v>3082</v>
      </c>
      <c r="D223" t="s">
        <v>3314</v>
      </c>
      <c r="E223" t="s">
        <v>3315</v>
      </c>
      <c r="F223" t="s">
        <v>725</v>
      </c>
      <c r="G223" t="s">
        <v>2880</v>
      </c>
      <c r="H223" s="3">
        <v>43495</v>
      </c>
      <c r="I223" s="3">
        <v>43937</v>
      </c>
    </row>
    <row r="224" spans="1:9" x14ac:dyDescent="0.3">
      <c r="A224" s="2" t="str">
        <f>HYPERLINK("https://www.pcpacanada.ca/negotiation/21094", "Ozempic  (semaglutide)")</f>
        <v>Ozempic  (semaglutide)</v>
      </c>
      <c r="B224" t="s">
        <v>1433</v>
      </c>
      <c r="C224" t="s">
        <v>2893</v>
      </c>
      <c r="D224" t="s">
        <v>1192</v>
      </c>
      <c r="E224" t="s">
        <v>3316</v>
      </c>
      <c r="F224" t="s">
        <v>1433</v>
      </c>
      <c r="G224" t="s">
        <v>1818</v>
      </c>
      <c r="H224" s="3">
        <v>43496</v>
      </c>
      <c r="I224" s="3">
        <v>43672</v>
      </c>
    </row>
    <row r="225" spans="1:9" x14ac:dyDescent="0.3">
      <c r="A225" s="2" t="str">
        <f>HYPERLINK("https://www.pcpacanada.ca/negotiation/21093", "Herceptin SC  (trastuzumab)")</f>
        <v>Herceptin SC  (trastuzumab)</v>
      </c>
      <c r="B225" t="s">
        <v>3068</v>
      </c>
      <c r="C225" t="s">
        <v>3082</v>
      </c>
      <c r="D225" t="s">
        <v>3317</v>
      </c>
      <c r="E225" t="s">
        <v>3318</v>
      </c>
      <c r="F225" t="s">
        <v>3068</v>
      </c>
      <c r="G225" t="s">
        <v>2880</v>
      </c>
      <c r="H225" s="3">
        <v>43496</v>
      </c>
      <c r="I225" s="3">
        <v>43767</v>
      </c>
    </row>
    <row r="226" spans="1:9" x14ac:dyDescent="0.3">
      <c r="A226" s="2" t="str">
        <f>HYPERLINK("https://www.pcpacanada.ca/negotiation/21092", "Tagrisso  (osimertinib)")</f>
        <v>Tagrisso  (osimertinib)</v>
      </c>
      <c r="B226" t="s">
        <v>465</v>
      </c>
      <c r="C226" t="s">
        <v>2893</v>
      </c>
      <c r="D226" t="s">
        <v>3319</v>
      </c>
      <c r="E226" t="s">
        <v>3320</v>
      </c>
      <c r="F226" t="s">
        <v>465</v>
      </c>
      <c r="G226" t="s">
        <v>3321</v>
      </c>
      <c r="H226" s="3">
        <v>43538</v>
      </c>
      <c r="I226" s="3">
        <v>43788</v>
      </c>
    </row>
    <row r="227" spans="1:9" x14ac:dyDescent="0.3">
      <c r="A227" s="2" t="str">
        <f>HYPERLINK("https://www.pcpacanada.ca/negotiation/21091", "Lenvima  (lenvatinib)")</f>
        <v>Lenvima  (lenvatinib)</v>
      </c>
      <c r="B227" t="s">
        <v>224</v>
      </c>
      <c r="C227" t="s">
        <v>2908</v>
      </c>
      <c r="D227" t="s">
        <v>3322</v>
      </c>
      <c r="E227" t="s">
        <v>3323</v>
      </c>
      <c r="F227" t="s">
        <v>224</v>
      </c>
      <c r="G227" t="s">
        <v>3324</v>
      </c>
      <c r="H227" s="3" t="s">
        <v>2880</v>
      </c>
      <c r="I227" s="3">
        <v>43496</v>
      </c>
    </row>
    <row r="228" spans="1:9" x14ac:dyDescent="0.3">
      <c r="A228" s="2" t="str">
        <f>HYPERLINK("https://www.pcpacanada.ca/negotiation/21090", "Harvoni  (ledipasvir/sofosbuvir)")</f>
        <v>Harvoni  (ledipasvir/sofosbuvir)</v>
      </c>
      <c r="B228" t="s">
        <v>539</v>
      </c>
      <c r="C228" t="s">
        <v>2893</v>
      </c>
      <c r="D228" t="s">
        <v>3325</v>
      </c>
      <c r="E228" t="s">
        <v>3326</v>
      </c>
      <c r="F228" t="s">
        <v>539</v>
      </c>
      <c r="G228" t="s">
        <v>1021</v>
      </c>
      <c r="H228" s="3" t="s">
        <v>2880</v>
      </c>
      <c r="I228" s="3">
        <v>42783</v>
      </c>
    </row>
    <row r="229" spans="1:9" x14ac:dyDescent="0.3">
      <c r="A229" s="2" t="str">
        <f>HYPERLINK("https://www.pcpacanada.ca/negotiation/21089", "Velphoro  (sucroferric oxyhydroxide)")</f>
        <v>Velphoro  (sucroferric oxyhydroxide)</v>
      </c>
      <c r="B229" t="s">
        <v>2547</v>
      </c>
      <c r="C229" t="s">
        <v>2893</v>
      </c>
      <c r="D229" t="s">
        <v>946</v>
      </c>
      <c r="E229" t="s">
        <v>3327</v>
      </c>
      <c r="F229" t="s">
        <v>2547</v>
      </c>
      <c r="G229" t="s">
        <v>2546</v>
      </c>
      <c r="H229" s="3">
        <v>43567</v>
      </c>
      <c r="I229" s="3">
        <v>43725</v>
      </c>
    </row>
    <row r="230" spans="1:9" x14ac:dyDescent="0.3">
      <c r="A230" s="2" t="str">
        <f>HYPERLINK("https://www.pcpacanada.ca/negotiation/21088", "Soliqua  (lixisenatide/insulin glargine)")</f>
        <v>Soliqua  (lixisenatide/insulin glargine)</v>
      </c>
      <c r="B230" t="s">
        <v>152</v>
      </c>
      <c r="C230" t="s">
        <v>2893</v>
      </c>
      <c r="D230" t="s">
        <v>1192</v>
      </c>
      <c r="E230" t="s">
        <v>3328</v>
      </c>
      <c r="F230" t="s">
        <v>152</v>
      </c>
      <c r="G230" t="s">
        <v>2143</v>
      </c>
      <c r="H230" s="3">
        <v>43571</v>
      </c>
      <c r="I230" s="3">
        <v>43790</v>
      </c>
    </row>
    <row r="231" spans="1:9" x14ac:dyDescent="0.3">
      <c r="A231" s="2" t="str">
        <f>HYPERLINK("https://www.pcpacanada.ca/negotiation/21087", "Perjeta/Herceptin  (pertuzumab/trastuzumab)")</f>
        <v>Perjeta/Herceptin  (pertuzumab/trastuzumab)</v>
      </c>
      <c r="B231" t="s">
        <v>3068</v>
      </c>
      <c r="C231" t="s">
        <v>2908</v>
      </c>
      <c r="D231" t="s">
        <v>3181</v>
      </c>
      <c r="E231" t="s">
        <v>3329</v>
      </c>
      <c r="F231" t="s">
        <v>3068</v>
      </c>
      <c r="G231" t="s">
        <v>3330</v>
      </c>
      <c r="H231" s="3" t="s">
        <v>2880</v>
      </c>
      <c r="I231" s="3">
        <v>43462</v>
      </c>
    </row>
    <row r="232" spans="1:9" x14ac:dyDescent="0.3">
      <c r="A232" s="2" t="str">
        <f>HYPERLINK("https://www.pcpacanada.ca/negotiation/21086", "Opdivo  (nivolumab)")</f>
        <v>Opdivo  (nivolumab)</v>
      </c>
      <c r="B232" t="s">
        <v>658</v>
      </c>
      <c r="C232" t="s">
        <v>2908</v>
      </c>
      <c r="D232" t="s">
        <v>509</v>
      </c>
      <c r="E232" t="s">
        <v>3331</v>
      </c>
      <c r="F232" t="s">
        <v>658</v>
      </c>
      <c r="G232" t="s">
        <v>3332</v>
      </c>
      <c r="H232" s="3" t="s">
        <v>2880</v>
      </c>
      <c r="I232" s="3">
        <v>43494</v>
      </c>
    </row>
    <row r="233" spans="1:9" x14ac:dyDescent="0.3">
      <c r="A233" s="2" t="str">
        <f>HYPERLINK("https://www.pcpacanada.ca/negotiation/21085", "Daklinza  (daclatasvir)")</f>
        <v>Daklinza  (daclatasvir)</v>
      </c>
      <c r="B233" t="s">
        <v>658</v>
      </c>
      <c r="C233" t="s">
        <v>2893</v>
      </c>
      <c r="D233" t="s">
        <v>3325</v>
      </c>
      <c r="E233" t="s">
        <v>3333</v>
      </c>
      <c r="F233" t="s">
        <v>658</v>
      </c>
      <c r="G233" t="s">
        <v>2880</v>
      </c>
      <c r="H233" s="3">
        <v>42573</v>
      </c>
      <c r="I233" s="3">
        <v>42783</v>
      </c>
    </row>
    <row r="234" spans="1:9" x14ac:dyDescent="0.3">
      <c r="A234" s="2" t="str">
        <f>HYPERLINK("https://www.pcpacanada.ca/negotiation/21084", "Januvia  (sitagliptin phosphate)")</f>
        <v>Januvia  (sitagliptin phosphate)</v>
      </c>
      <c r="B234" t="s">
        <v>289</v>
      </c>
      <c r="C234" t="s">
        <v>2893</v>
      </c>
      <c r="D234" t="s">
        <v>1192</v>
      </c>
      <c r="E234" t="s">
        <v>3334</v>
      </c>
      <c r="F234" t="s">
        <v>289</v>
      </c>
      <c r="G234" t="s">
        <v>2880</v>
      </c>
      <c r="H234" s="3">
        <v>43406</v>
      </c>
      <c r="I234" s="3">
        <v>43900</v>
      </c>
    </row>
    <row r="235" spans="1:9" x14ac:dyDescent="0.3">
      <c r="A235" s="2" t="str">
        <f>HYPERLINK("https://www.pcpacanada.ca/negotiation/21083", "Yervoy/Opdivo  (nivolumab/ipilimumab)")</f>
        <v>Yervoy/Opdivo  (nivolumab/ipilimumab)</v>
      </c>
      <c r="B235" t="s">
        <v>658</v>
      </c>
      <c r="C235" t="s">
        <v>2893</v>
      </c>
      <c r="D235" t="s">
        <v>3163</v>
      </c>
      <c r="E235" t="s">
        <v>3335</v>
      </c>
      <c r="F235" t="s">
        <v>658</v>
      </c>
      <c r="G235" t="s">
        <v>3336</v>
      </c>
      <c r="H235" s="3">
        <v>43462</v>
      </c>
      <c r="I235" s="3">
        <v>43544</v>
      </c>
    </row>
    <row r="236" spans="1:9" x14ac:dyDescent="0.3">
      <c r="A236" s="2" t="str">
        <f>HYPERLINK("https://www.pcpacanada.ca/negotiation/21082", "Gazyva  (obinutuzumab)")</f>
        <v>Gazyva  (obinutuzumab)</v>
      </c>
      <c r="B236" t="s">
        <v>3068</v>
      </c>
      <c r="C236" t="s">
        <v>2908</v>
      </c>
      <c r="D236" t="s">
        <v>967</v>
      </c>
      <c r="E236" t="s">
        <v>3337</v>
      </c>
      <c r="F236" t="s">
        <v>3068</v>
      </c>
      <c r="G236" t="s">
        <v>3338</v>
      </c>
      <c r="H236" s="3" t="s">
        <v>2880</v>
      </c>
      <c r="I236" s="3">
        <v>43441</v>
      </c>
    </row>
    <row r="237" spans="1:9" x14ac:dyDescent="0.3">
      <c r="A237" s="2" t="str">
        <f>HYPERLINK("https://www.pcpacanada.ca/negotiation/21081", "Erleada  (apalutamide)")</f>
        <v>Erleada  (apalutamide)</v>
      </c>
      <c r="B237" t="s">
        <v>665</v>
      </c>
      <c r="C237" t="s">
        <v>2893</v>
      </c>
      <c r="D237" t="s">
        <v>3102</v>
      </c>
      <c r="E237" t="s">
        <v>3339</v>
      </c>
      <c r="F237" t="s">
        <v>665</v>
      </c>
      <c r="G237" t="s">
        <v>3340</v>
      </c>
      <c r="H237" s="3">
        <v>43538</v>
      </c>
      <c r="I237" s="3">
        <v>43655</v>
      </c>
    </row>
    <row r="238" spans="1:9" x14ac:dyDescent="0.3">
      <c r="A238" s="2" t="str">
        <f>HYPERLINK("https://www.pcpacanada.ca/negotiation/21080", "Xarelto  (rivaroxaban)")</f>
        <v>Xarelto  (rivaroxaban)</v>
      </c>
      <c r="B238" t="s">
        <v>146</v>
      </c>
      <c r="C238" t="s">
        <v>2893</v>
      </c>
      <c r="D238" t="s">
        <v>2693</v>
      </c>
      <c r="E238" t="s">
        <v>3341</v>
      </c>
      <c r="F238" t="s">
        <v>146</v>
      </c>
      <c r="G238" t="s">
        <v>2694</v>
      </c>
      <c r="H238" s="3">
        <v>43553</v>
      </c>
      <c r="I238" s="3">
        <v>43784</v>
      </c>
    </row>
    <row r="239" spans="1:9" x14ac:dyDescent="0.3">
      <c r="A239" s="2" t="str">
        <f>HYPERLINK("https://www.pcpacanada.ca/negotiation/21079", "Ozurdex  (dexamethasone)")</f>
        <v>Ozurdex  (dexamethasone)</v>
      </c>
      <c r="B239" t="s">
        <v>434</v>
      </c>
      <c r="C239" t="s">
        <v>2908</v>
      </c>
      <c r="D239" t="s">
        <v>3196</v>
      </c>
      <c r="E239" t="s">
        <v>3342</v>
      </c>
      <c r="F239" t="s">
        <v>434</v>
      </c>
      <c r="G239" t="s">
        <v>1824</v>
      </c>
      <c r="H239" s="3" t="s">
        <v>2880</v>
      </c>
      <c r="I239" s="3">
        <v>43433</v>
      </c>
    </row>
    <row r="240" spans="1:9" x14ac:dyDescent="0.3">
      <c r="A240" s="2" t="str">
        <f>HYPERLINK("https://www.pcpacanada.ca/negotiation/21078", "Biktarvy  (bictegravir/emtricitabine/tenofovir alafenamide)")</f>
        <v>Biktarvy  (bictegravir/emtricitabine/tenofovir alafenamide)</v>
      </c>
      <c r="B240" t="s">
        <v>539</v>
      </c>
      <c r="C240" t="s">
        <v>2893</v>
      </c>
      <c r="D240" t="s">
        <v>273</v>
      </c>
      <c r="E240" t="s">
        <v>3343</v>
      </c>
      <c r="F240" t="s">
        <v>539</v>
      </c>
      <c r="G240" t="s">
        <v>395</v>
      </c>
      <c r="H240" s="3">
        <v>43523</v>
      </c>
      <c r="I240" s="3">
        <v>43630</v>
      </c>
    </row>
    <row r="241" spans="1:9" x14ac:dyDescent="0.3">
      <c r="A241" s="2" t="str">
        <f>HYPERLINK("https://www.pcpacanada.ca/negotiation/21077", "Fibristal  (ulipristal acetate)")</f>
        <v>Fibristal  (ulipristal acetate)</v>
      </c>
      <c r="B241" t="s">
        <v>434</v>
      </c>
      <c r="C241" t="s">
        <v>2893</v>
      </c>
      <c r="D241" t="s">
        <v>3344</v>
      </c>
      <c r="E241" t="s">
        <v>3345</v>
      </c>
      <c r="F241" t="s">
        <v>434</v>
      </c>
      <c r="G241" t="s">
        <v>907</v>
      </c>
      <c r="H241" s="3">
        <v>43371</v>
      </c>
      <c r="I241" s="3">
        <v>43683</v>
      </c>
    </row>
    <row r="242" spans="1:9" x14ac:dyDescent="0.3">
      <c r="A242" s="2" t="str">
        <f>HYPERLINK("https://www.pcpacanada.ca/negotiation/21076", "Alecensaro  (alectinib)")</f>
        <v>Alecensaro  (alectinib)</v>
      </c>
      <c r="B242" t="s">
        <v>3068</v>
      </c>
      <c r="C242" t="s">
        <v>2893</v>
      </c>
      <c r="D242" t="s">
        <v>3346</v>
      </c>
      <c r="E242" t="s">
        <v>3347</v>
      </c>
      <c r="F242" t="s">
        <v>3068</v>
      </c>
      <c r="G242" t="s">
        <v>3348</v>
      </c>
      <c r="H242" s="3">
        <v>43350</v>
      </c>
      <c r="I242" s="3">
        <v>43445</v>
      </c>
    </row>
    <row r="243" spans="1:9" x14ac:dyDescent="0.3">
      <c r="A243" s="2" t="str">
        <f>HYPERLINK("https://www.pcpacanada.ca/negotiation/21075", "Praluent  (alirocumab)")</f>
        <v>Praluent  (alirocumab)</v>
      </c>
      <c r="B243" t="s">
        <v>152</v>
      </c>
      <c r="C243" t="s">
        <v>3082</v>
      </c>
      <c r="D243" t="s">
        <v>3349</v>
      </c>
      <c r="E243" t="s">
        <v>3350</v>
      </c>
      <c r="F243" t="s">
        <v>152</v>
      </c>
      <c r="G243" t="s">
        <v>2880</v>
      </c>
      <c r="H243" s="3">
        <v>43320</v>
      </c>
      <c r="I243" s="3">
        <v>43742</v>
      </c>
    </row>
    <row r="244" spans="1:9" x14ac:dyDescent="0.3">
      <c r="A244" s="2" t="str">
        <f>HYPERLINK("https://www.pcpacanada.ca/negotiation/21074", "Orkambi  (lumacaftor/ivacaftor)")</f>
        <v>Orkambi  (lumacaftor/ivacaftor)</v>
      </c>
      <c r="B244" t="s">
        <v>1279</v>
      </c>
      <c r="C244" t="s">
        <v>2908</v>
      </c>
      <c r="D244" t="s">
        <v>1798</v>
      </c>
      <c r="E244" t="s">
        <v>3351</v>
      </c>
      <c r="F244" t="s">
        <v>1279</v>
      </c>
      <c r="G244" t="s">
        <v>1797</v>
      </c>
      <c r="H244" s="3" t="s">
        <v>2880</v>
      </c>
      <c r="I244" s="3">
        <v>43515</v>
      </c>
    </row>
    <row r="245" spans="1:9" x14ac:dyDescent="0.3">
      <c r="A245" s="2" t="str">
        <f>HYPERLINK("https://www.pcpacanada.ca/negotiation/21073", "Arbesda RespiClick  (fluticasone propionate/salmeterol xinafoate)")</f>
        <v>Arbesda RespiClick  (fluticasone propionate/salmeterol xinafoate)</v>
      </c>
      <c r="B245" t="s">
        <v>3093</v>
      </c>
      <c r="C245" t="s">
        <v>3082</v>
      </c>
      <c r="D245" t="s">
        <v>164</v>
      </c>
      <c r="E245" t="s">
        <v>3352</v>
      </c>
      <c r="F245" t="s">
        <v>3093</v>
      </c>
      <c r="G245" t="s">
        <v>277</v>
      </c>
      <c r="H245" s="3">
        <v>43567</v>
      </c>
      <c r="I245" s="3">
        <v>43677</v>
      </c>
    </row>
    <row r="246" spans="1:9" x14ac:dyDescent="0.3">
      <c r="A246" s="2" t="str">
        <f>HYPERLINK("https://www.pcpacanada.ca/negotiation/21072", "Aermony Respiclick  (fluticasone propionate)")</f>
        <v>Aermony Respiclick  (fluticasone propionate)</v>
      </c>
      <c r="B246" t="s">
        <v>3093</v>
      </c>
      <c r="C246" t="s">
        <v>3082</v>
      </c>
      <c r="D246" t="s">
        <v>164</v>
      </c>
      <c r="E246" t="s">
        <v>3353</v>
      </c>
      <c r="F246" t="s">
        <v>3093</v>
      </c>
      <c r="G246" t="s">
        <v>165</v>
      </c>
      <c r="H246" s="3">
        <v>43567</v>
      </c>
      <c r="I246" s="3">
        <v>43677</v>
      </c>
    </row>
    <row r="247" spans="1:9" x14ac:dyDescent="0.3">
      <c r="A247" s="2" t="str">
        <f>HYPERLINK("https://www.pcpacanada.ca/negotiation/21071", "Viberzi  (eluxadoline)")</f>
        <v>Viberzi  (eluxadoline)</v>
      </c>
      <c r="B247" t="s">
        <v>434</v>
      </c>
      <c r="C247" t="s">
        <v>2908</v>
      </c>
      <c r="D247" t="s">
        <v>3354</v>
      </c>
      <c r="E247" t="s">
        <v>3355</v>
      </c>
      <c r="F247" t="s">
        <v>434</v>
      </c>
      <c r="G247" t="s">
        <v>2596</v>
      </c>
      <c r="H247" s="3" t="s">
        <v>2880</v>
      </c>
      <c r="I247" s="3">
        <v>43411</v>
      </c>
    </row>
    <row r="248" spans="1:9" x14ac:dyDescent="0.3">
      <c r="A248" s="2" t="str">
        <f>HYPERLINK("https://www.pcpacanada.ca/negotiation/21070", "Kanuma  (sebelipase alfa)")</f>
        <v>Kanuma  (sebelipase alfa)</v>
      </c>
      <c r="B248" t="s">
        <v>3056</v>
      </c>
      <c r="C248" t="s">
        <v>2893</v>
      </c>
      <c r="D248" t="s">
        <v>1281</v>
      </c>
      <c r="E248" t="s">
        <v>3356</v>
      </c>
      <c r="F248" t="s">
        <v>3056</v>
      </c>
      <c r="G248" t="s">
        <v>1282</v>
      </c>
      <c r="H248" s="3">
        <v>43434</v>
      </c>
      <c r="I248" s="3">
        <v>44125</v>
      </c>
    </row>
    <row r="249" spans="1:9" x14ac:dyDescent="0.3">
      <c r="A249" s="2" t="str">
        <f>HYPERLINK("https://www.pcpacanada.ca/negotiation/21069", "Trelegy Ellipta  (fluticasone furoate/umeclidinium/vilanterol)")</f>
        <v>Trelegy Ellipta  (fluticasone furoate/umeclidinium/vilanterol)</v>
      </c>
      <c r="B249" t="s">
        <v>455</v>
      </c>
      <c r="C249" t="s">
        <v>2893</v>
      </c>
      <c r="D249" t="s">
        <v>2488</v>
      </c>
      <c r="E249" t="s">
        <v>3357</v>
      </c>
      <c r="F249" t="s">
        <v>455</v>
      </c>
      <c r="G249" t="s">
        <v>2449</v>
      </c>
      <c r="H249" s="3">
        <v>43434</v>
      </c>
      <c r="I249" s="3">
        <v>43717</v>
      </c>
    </row>
    <row r="250" spans="1:9" x14ac:dyDescent="0.3">
      <c r="A250" s="2" t="str">
        <f>HYPERLINK("https://www.pcpacanada.ca/negotiation/21068", "Mavenclad  (cladribine)")</f>
        <v>Mavenclad  (cladribine)</v>
      </c>
      <c r="B250" t="s">
        <v>2976</v>
      </c>
      <c r="C250" t="s">
        <v>2893</v>
      </c>
      <c r="D250" t="s">
        <v>2931</v>
      </c>
      <c r="E250" t="s">
        <v>3358</v>
      </c>
      <c r="F250" t="s">
        <v>2976</v>
      </c>
      <c r="G250" t="s">
        <v>3359</v>
      </c>
      <c r="H250" s="3">
        <v>43510</v>
      </c>
      <c r="I250" s="3">
        <v>43791</v>
      </c>
    </row>
    <row r="251" spans="1:9" x14ac:dyDescent="0.3">
      <c r="A251" s="2" t="str">
        <f>HYPERLINK("https://www.pcpacanada.ca/negotiation/21067", "Nucynta  (tapentadol hydrochloride)")</f>
        <v>Nucynta  (tapentadol hydrochloride)</v>
      </c>
      <c r="B251" t="s">
        <v>67</v>
      </c>
      <c r="C251" t="s">
        <v>2908</v>
      </c>
      <c r="D251" t="s">
        <v>3360</v>
      </c>
      <c r="E251" t="s">
        <v>3361</v>
      </c>
      <c r="F251" t="s">
        <v>67</v>
      </c>
      <c r="G251" t="s">
        <v>1653</v>
      </c>
      <c r="H251" s="3" t="s">
        <v>2880</v>
      </c>
      <c r="I251" s="3">
        <v>43433</v>
      </c>
    </row>
    <row r="252" spans="1:9" x14ac:dyDescent="0.3">
      <c r="A252" s="2" t="str">
        <f>HYPERLINK("https://www.pcpacanada.ca/negotiation/21066", "Fasenra  (benralizumab)")</f>
        <v>Fasenra  (benralizumab)</v>
      </c>
      <c r="B252" t="s">
        <v>465</v>
      </c>
      <c r="C252" t="s">
        <v>2893</v>
      </c>
      <c r="D252" t="s">
        <v>3362</v>
      </c>
      <c r="E252" t="s">
        <v>3363</v>
      </c>
      <c r="F252" t="s">
        <v>465</v>
      </c>
      <c r="G252" t="s">
        <v>891</v>
      </c>
      <c r="H252" s="3">
        <v>43434</v>
      </c>
      <c r="I252" s="3">
        <v>43588</v>
      </c>
    </row>
    <row r="253" spans="1:9" x14ac:dyDescent="0.3">
      <c r="A253" s="2" t="str">
        <f>HYPERLINK("https://www.pcpacanada.ca/negotiation/21065", "Dysport Therapeutic  (abobotulinumtoxina)")</f>
        <v>Dysport Therapeutic  (abobotulinumtoxina)</v>
      </c>
      <c r="B253" t="s">
        <v>3108</v>
      </c>
      <c r="C253" t="s">
        <v>2893</v>
      </c>
      <c r="D253" t="s">
        <v>3364</v>
      </c>
      <c r="E253" t="s">
        <v>3365</v>
      </c>
      <c r="F253" t="s">
        <v>3108</v>
      </c>
      <c r="G253" t="s">
        <v>3366</v>
      </c>
      <c r="H253" s="3">
        <v>43342</v>
      </c>
      <c r="I253" s="3">
        <v>43342</v>
      </c>
    </row>
    <row r="254" spans="1:9" x14ac:dyDescent="0.3">
      <c r="A254" s="2" t="str">
        <f>HYPERLINK("https://www.pcpacanada.ca/negotiation/21064", "Nitisinone  (nitisinone)")</f>
        <v>Nitisinone  (nitisinone)</v>
      </c>
      <c r="B254" t="s">
        <v>1631</v>
      </c>
      <c r="C254" t="s">
        <v>2893</v>
      </c>
      <c r="D254" t="s">
        <v>3202</v>
      </c>
      <c r="E254" t="s">
        <v>3367</v>
      </c>
      <c r="F254" t="s">
        <v>1631</v>
      </c>
      <c r="G254" t="s">
        <v>3368</v>
      </c>
      <c r="H254" s="3">
        <v>43333</v>
      </c>
      <c r="I254" s="3">
        <v>43432</v>
      </c>
    </row>
    <row r="255" spans="1:9" x14ac:dyDescent="0.3">
      <c r="A255" s="2" t="str">
        <f>HYPERLINK("https://www.pcpacanada.ca/negotiation/21063", "Taltz  (ixekizumab)")</f>
        <v>Taltz  (ixekizumab)</v>
      </c>
      <c r="B255" t="s">
        <v>133</v>
      </c>
      <c r="C255" t="s">
        <v>2893</v>
      </c>
      <c r="D255" t="s">
        <v>2902</v>
      </c>
      <c r="E255" t="s">
        <v>3369</v>
      </c>
      <c r="F255" t="s">
        <v>133</v>
      </c>
      <c r="G255" t="s">
        <v>2285</v>
      </c>
      <c r="H255" s="3">
        <v>43376</v>
      </c>
      <c r="I255" s="3">
        <v>43412</v>
      </c>
    </row>
    <row r="256" spans="1:9" x14ac:dyDescent="0.3">
      <c r="A256" s="2" t="str">
        <f>HYPERLINK("https://www.pcpacanada.ca/negotiation/21062", "Duodopa  (levodopa/carbidopa)")</f>
        <v>Duodopa  (levodopa/carbidopa)</v>
      </c>
      <c r="B256" t="s">
        <v>725</v>
      </c>
      <c r="C256" t="s">
        <v>2893</v>
      </c>
      <c r="D256" t="s">
        <v>2989</v>
      </c>
      <c r="E256" t="s">
        <v>3370</v>
      </c>
      <c r="F256" t="s">
        <v>725</v>
      </c>
      <c r="G256" t="s">
        <v>724</v>
      </c>
      <c r="H256" s="3">
        <v>43462</v>
      </c>
      <c r="I256" s="3">
        <v>43573</v>
      </c>
    </row>
    <row r="257" spans="1:9" x14ac:dyDescent="0.3">
      <c r="A257" s="2" t="str">
        <f>HYPERLINK("https://www.pcpacanada.ca/negotiation/21061", "Probuphine  (buprenorphine)")</f>
        <v>Probuphine  (buprenorphine)</v>
      </c>
      <c r="B257" t="s">
        <v>3166</v>
      </c>
      <c r="C257" t="s">
        <v>2893</v>
      </c>
      <c r="D257" t="s">
        <v>3218</v>
      </c>
      <c r="E257" t="s">
        <v>3371</v>
      </c>
      <c r="F257" t="s">
        <v>3166</v>
      </c>
      <c r="G257" t="s">
        <v>1922</v>
      </c>
      <c r="H257" s="3">
        <v>43434</v>
      </c>
      <c r="I257" s="3">
        <v>43588</v>
      </c>
    </row>
    <row r="258" spans="1:9" x14ac:dyDescent="0.3">
      <c r="A258" s="2" t="str">
        <f>HYPERLINK("https://www.pcpacanada.ca/negotiation/21060", "Ozanex  (ozenoxacin)")</f>
        <v>Ozanex  (ozenoxacin)</v>
      </c>
      <c r="B258" t="s">
        <v>3372</v>
      </c>
      <c r="C258" t="s">
        <v>2908</v>
      </c>
      <c r="D258" t="s">
        <v>1814</v>
      </c>
      <c r="E258" t="s">
        <v>3373</v>
      </c>
      <c r="F258" t="s">
        <v>3372</v>
      </c>
      <c r="G258" t="s">
        <v>1815</v>
      </c>
      <c r="H258" s="3" t="s">
        <v>2880</v>
      </c>
      <c r="I258" s="3">
        <v>43434</v>
      </c>
    </row>
    <row r="259" spans="1:9" x14ac:dyDescent="0.3">
      <c r="A259" s="2" t="str">
        <f>HYPERLINK("https://www.pcpacanada.ca/negotiation/21059", "Symtuza  (darunavir/cobicistat/emtricitabine/tenofovir alafenamide)")</f>
        <v>Symtuza  (darunavir/cobicistat/emtricitabine/tenofovir alafenamide)</v>
      </c>
      <c r="B259" t="s">
        <v>665</v>
      </c>
      <c r="C259" t="s">
        <v>3082</v>
      </c>
      <c r="D259" t="s">
        <v>273</v>
      </c>
      <c r="E259" t="s">
        <v>3374</v>
      </c>
      <c r="F259" t="s">
        <v>665</v>
      </c>
      <c r="G259" t="s">
        <v>2245</v>
      </c>
      <c r="H259" s="3">
        <v>43523</v>
      </c>
      <c r="I259" s="3">
        <v>43607</v>
      </c>
    </row>
    <row r="260" spans="1:9" x14ac:dyDescent="0.3">
      <c r="A260" s="2" t="str">
        <f>HYPERLINK("https://www.pcpacanada.ca/negotiation/21058", "Lonsurf  (trifluridine/tipiracil)")</f>
        <v>Lonsurf  (trifluridine/tipiracil)</v>
      </c>
      <c r="B260" t="s">
        <v>3144</v>
      </c>
      <c r="C260" t="s">
        <v>2893</v>
      </c>
      <c r="D260" t="s">
        <v>324</v>
      </c>
      <c r="E260" t="s">
        <v>3375</v>
      </c>
      <c r="F260" t="s">
        <v>3144</v>
      </c>
      <c r="G260" t="s">
        <v>3376</v>
      </c>
      <c r="H260" s="3">
        <v>43615</v>
      </c>
      <c r="I260" s="3">
        <v>43685</v>
      </c>
    </row>
    <row r="261" spans="1:9" x14ac:dyDescent="0.3">
      <c r="A261" s="2" t="str">
        <f>HYPERLINK("https://www.pcpacanada.ca/negotiation/21057", "Besponsa  (inotuzumab ozogamicin)")</f>
        <v>Besponsa  (inotuzumab ozogamicin)</v>
      </c>
      <c r="B261" t="s">
        <v>445</v>
      </c>
      <c r="C261" t="s">
        <v>2893</v>
      </c>
      <c r="D261" t="s">
        <v>403</v>
      </c>
      <c r="E261" t="s">
        <v>3377</v>
      </c>
      <c r="F261" t="s">
        <v>445</v>
      </c>
      <c r="G261" t="s">
        <v>3378</v>
      </c>
      <c r="H261" s="3">
        <v>43350</v>
      </c>
      <c r="I261" s="3">
        <v>43502</v>
      </c>
    </row>
    <row r="262" spans="1:9" x14ac:dyDescent="0.3">
      <c r="A262" s="2" t="str">
        <f>HYPERLINK("https://www.pcpacanada.ca/negotiation/21056", "Tecentriq  (atezolizumab)")</f>
        <v>Tecentriq  (atezolizumab)</v>
      </c>
      <c r="B262" t="s">
        <v>3068</v>
      </c>
      <c r="C262" t="s">
        <v>2893</v>
      </c>
      <c r="D262" t="s">
        <v>3257</v>
      </c>
      <c r="E262" t="s">
        <v>3379</v>
      </c>
      <c r="F262" t="s">
        <v>3068</v>
      </c>
      <c r="G262" t="s">
        <v>3380</v>
      </c>
      <c r="H262" s="3">
        <v>43301</v>
      </c>
      <c r="I262" s="3">
        <v>43433</v>
      </c>
    </row>
    <row r="263" spans="1:9" x14ac:dyDescent="0.3">
      <c r="A263" s="2" t="str">
        <f>HYPERLINK("https://www.pcpacanada.ca/negotiation/21055", "Dupixent  (dupilumab)")</f>
        <v>Dupixent  (dupilumab)</v>
      </c>
      <c r="B263" t="s">
        <v>535</v>
      </c>
      <c r="C263" t="s">
        <v>2893</v>
      </c>
      <c r="D263" t="s">
        <v>3115</v>
      </c>
      <c r="E263" t="s">
        <v>3381</v>
      </c>
      <c r="F263" t="s">
        <v>535</v>
      </c>
      <c r="G263" t="s">
        <v>734</v>
      </c>
      <c r="H263" s="3">
        <v>43426</v>
      </c>
      <c r="I263" s="3">
        <v>43725</v>
      </c>
    </row>
    <row r="264" spans="1:9" x14ac:dyDescent="0.3">
      <c r="A264" s="2" t="str">
        <f>HYPERLINK("https://www.pcpacanada.ca/negotiation/21054", "Lapelga  (pegfilgrastrim)")</f>
        <v>Lapelga  (pegfilgrastrim)</v>
      </c>
      <c r="B264" t="s">
        <v>1396</v>
      </c>
      <c r="C264" t="s">
        <v>2893</v>
      </c>
      <c r="D264" t="s">
        <v>3382</v>
      </c>
      <c r="E264" t="s">
        <v>3383</v>
      </c>
      <c r="F264" t="s">
        <v>1396</v>
      </c>
      <c r="G264" t="s">
        <v>2880</v>
      </c>
      <c r="H264" s="3">
        <v>43383</v>
      </c>
      <c r="I264" s="3">
        <v>43524</v>
      </c>
    </row>
    <row r="265" spans="1:9" x14ac:dyDescent="0.3">
      <c r="A265" s="2" t="str">
        <f>HYPERLINK("https://www.pcpacanada.ca/negotiation/21053", "Siliq  (brodalumab)")</f>
        <v>Siliq  (brodalumab)</v>
      </c>
      <c r="B265" t="s">
        <v>3384</v>
      </c>
      <c r="C265" t="s">
        <v>2893</v>
      </c>
      <c r="D265" t="s">
        <v>558</v>
      </c>
      <c r="E265" t="s">
        <v>3385</v>
      </c>
      <c r="F265" t="s">
        <v>3384</v>
      </c>
      <c r="G265" t="s">
        <v>2124</v>
      </c>
      <c r="H265" s="3">
        <v>43378</v>
      </c>
      <c r="I265" s="3">
        <v>43448</v>
      </c>
    </row>
    <row r="266" spans="1:9" x14ac:dyDescent="0.3">
      <c r="A266" s="2" t="str">
        <f>HYPERLINK("https://www.pcpacanada.ca/negotiation/21052", "Prevymis  (letermovir)")</f>
        <v>Prevymis  (letermovir)</v>
      </c>
      <c r="B266" t="s">
        <v>289</v>
      </c>
      <c r="C266" t="s">
        <v>2893</v>
      </c>
      <c r="D266" t="s">
        <v>3386</v>
      </c>
      <c r="E266" t="s">
        <v>3387</v>
      </c>
      <c r="F266" t="s">
        <v>289</v>
      </c>
      <c r="G266" t="s">
        <v>1904</v>
      </c>
      <c r="H266" s="3">
        <v>43433</v>
      </c>
      <c r="I266" s="3">
        <v>43817</v>
      </c>
    </row>
    <row r="267" spans="1:9" x14ac:dyDescent="0.3">
      <c r="A267" s="2" t="str">
        <f>HYPERLINK("https://www.pcpacanada.ca/negotiation/21051", "Juluca  (dolutegravir/rilpivirine)")</f>
        <v>Juluca  (dolutegravir/rilpivirine)</v>
      </c>
      <c r="B267" t="s">
        <v>715</v>
      </c>
      <c r="C267" t="s">
        <v>2893</v>
      </c>
      <c r="D267" t="s">
        <v>273</v>
      </c>
      <c r="E267" t="s">
        <v>3388</v>
      </c>
      <c r="F267" t="s">
        <v>715</v>
      </c>
      <c r="G267" t="s">
        <v>1251</v>
      </c>
      <c r="H267" s="3">
        <v>43315</v>
      </c>
      <c r="I267" s="3">
        <v>43509</v>
      </c>
    </row>
    <row r="268" spans="1:9" x14ac:dyDescent="0.3">
      <c r="A268" s="2" t="str">
        <f>HYPERLINK("https://www.pcpacanada.ca/negotiation/21050", "Akynzeo  (netupitant/palonosetron)")</f>
        <v>Akynzeo  (netupitant/palonosetron)</v>
      </c>
      <c r="B268" t="s">
        <v>196</v>
      </c>
      <c r="C268" t="s">
        <v>2893</v>
      </c>
      <c r="D268" t="s">
        <v>194</v>
      </c>
      <c r="E268" t="s">
        <v>3389</v>
      </c>
      <c r="F268" t="s">
        <v>196</v>
      </c>
      <c r="G268" t="s">
        <v>195</v>
      </c>
      <c r="H268" s="3">
        <v>43362</v>
      </c>
      <c r="I268" s="3">
        <v>43579</v>
      </c>
    </row>
    <row r="269" spans="1:9" x14ac:dyDescent="0.3">
      <c r="A269" s="2" t="str">
        <f>HYPERLINK("https://www.pcpacanada.ca/negotiation/21049", "Toujeo  (insulin glargine injection)")</f>
        <v>Toujeo  (insulin glargine injection)</v>
      </c>
      <c r="B269" t="s">
        <v>152</v>
      </c>
      <c r="C269" t="s">
        <v>2893</v>
      </c>
      <c r="D269" t="s">
        <v>2904</v>
      </c>
      <c r="E269" t="s">
        <v>3390</v>
      </c>
      <c r="F269" t="s">
        <v>152</v>
      </c>
      <c r="G269" t="s">
        <v>2880</v>
      </c>
      <c r="H269" s="3">
        <v>43265</v>
      </c>
      <c r="I269" s="3">
        <v>43355</v>
      </c>
    </row>
    <row r="270" spans="1:9" x14ac:dyDescent="0.3">
      <c r="A270" s="2" t="str">
        <f>HYPERLINK("https://www.pcpacanada.ca/negotiation/21048", "Rituxan SC  (rituximab)")</f>
        <v>Rituxan SC  (rituximab)</v>
      </c>
      <c r="B270" t="s">
        <v>3068</v>
      </c>
      <c r="C270" t="s">
        <v>2893</v>
      </c>
      <c r="D270" t="s">
        <v>3007</v>
      </c>
      <c r="E270" t="s">
        <v>3391</v>
      </c>
      <c r="F270" t="s">
        <v>3068</v>
      </c>
      <c r="G270" t="s">
        <v>2880</v>
      </c>
      <c r="H270" s="3">
        <v>43255</v>
      </c>
      <c r="I270" s="3">
        <v>43325</v>
      </c>
    </row>
    <row r="271" spans="1:9" x14ac:dyDescent="0.3">
      <c r="A271" s="2" t="str">
        <f>HYPERLINK("https://www.pcpacanada.ca/negotiation/21047", "Kevzara  (sarilumab)")</f>
        <v>Kevzara  (sarilumab)</v>
      </c>
      <c r="B271" t="s">
        <v>152</v>
      </c>
      <c r="C271" t="s">
        <v>2893</v>
      </c>
      <c r="D271" t="s">
        <v>3142</v>
      </c>
      <c r="E271" t="s">
        <v>3392</v>
      </c>
      <c r="F271" t="s">
        <v>152</v>
      </c>
      <c r="G271" t="s">
        <v>2880</v>
      </c>
      <c r="H271" s="3">
        <v>43265</v>
      </c>
      <c r="I271" s="3">
        <v>43522</v>
      </c>
    </row>
    <row r="272" spans="1:9" x14ac:dyDescent="0.3">
      <c r="A272" s="2" t="str">
        <f>HYPERLINK("https://www.pcpacanada.ca/negotiation/21046", "Dysport Therapeutic  (abobotulinumtoxina)")</f>
        <v>Dysport Therapeutic  (abobotulinumtoxina)</v>
      </c>
      <c r="B272" t="s">
        <v>3108</v>
      </c>
      <c r="C272" t="s">
        <v>2893</v>
      </c>
      <c r="D272" t="s">
        <v>3393</v>
      </c>
      <c r="E272" t="s">
        <v>3394</v>
      </c>
      <c r="F272" t="s">
        <v>3108</v>
      </c>
      <c r="G272" t="s">
        <v>3395</v>
      </c>
      <c r="H272" s="3">
        <v>43224</v>
      </c>
      <c r="I272" s="3">
        <v>43298</v>
      </c>
    </row>
    <row r="273" spans="1:9" x14ac:dyDescent="0.3">
      <c r="A273" s="2" t="str">
        <f>HYPERLINK("https://www.pcpacanada.ca/negotiation/21045", "Dysport Therapeutic  (abobotulinumtoxina)")</f>
        <v>Dysport Therapeutic  (abobotulinumtoxina)</v>
      </c>
      <c r="B273" t="s">
        <v>3108</v>
      </c>
      <c r="C273" t="s">
        <v>2893</v>
      </c>
      <c r="D273" t="s">
        <v>744</v>
      </c>
      <c r="E273" t="s">
        <v>3396</v>
      </c>
      <c r="F273" t="s">
        <v>3108</v>
      </c>
      <c r="G273" t="s">
        <v>745</v>
      </c>
      <c r="H273" s="3">
        <v>43224</v>
      </c>
      <c r="I273" s="3">
        <v>43298</v>
      </c>
    </row>
    <row r="274" spans="1:9" x14ac:dyDescent="0.3">
      <c r="A274" s="2" t="str">
        <f>HYPERLINK("https://www.pcpacanada.ca/negotiation/21044", "Enstilar  (calcipotriol/betamethasone)")</f>
        <v>Enstilar  (calcipotriol/betamethasone)</v>
      </c>
      <c r="B274" t="s">
        <v>1867</v>
      </c>
      <c r="C274" t="s">
        <v>2893</v>
      </c>
      <c r="D274" t="s">
        <v>558</v>
      </c>
      <c r="E274" t="s">
        <v>3397</v>
      </c>
      <c r="F274" t="s">
        <v>1867</v>
      </c>
      <c r="G274" t="s">
        <v>2880</v>
      </c>
      <c r="H274" s="3">
        <v>43230</v>
      </c>
      <c r="I274" s="3">
        <v>43339</v>
      </c>
    </row>
    <row r="275" spans="1:9" x14ac:dyDescent="0.3">
      <c r="A275" s="2" t="str">
        <f>HYPERLINK("https://www.pcpacanada.ca/negotiation/21043", "Opdivo  (nivolumab)")</f>
        <v>Opdivo  (nivolumab)</v>
      </c>
      <c r="B275" t="s">
        <v>658</v>
      </c>
      <c r="C275" t="s">
        <v>2893</v>
      </c>
      <c r="D275" t="s">
        <v>3398</v>
      </c>
      <c r="E275" t="s">
        <v>3399</v>
      </c>
      <c r="F275" t="s">
        <v>658</v>
      </c>
      <c r="G275" t="s">
        <v>3400</v>
      </c>
      <c r="H275" s="3">
        <v>43382</v>
      </c>
      <c r="I275" s="3">
        <v>43742</v>
      </c>
    </row>
    <row r="276" spans="1:9" x14ac:dyDescent="0.3">
      <c r="A276" s="2" t="str">
        <f>HYPERLINK("https://www.pcpacanada.ca/negotiation/21042", "Kisqali  (ribociclib)")</f>
        <v>Kisqali  (ribociclib)</v>
      </c>
      <c r="B276" t="s">
        <v>71</v>
      </c>
      <c r="C276" t="s">
        <v>2893</v>
      </c>
      <c r="D276" t="s">
        <v>1266</v>
      </c>
      <c r="E276" t="s">
        <v>3401</v>
      </c>
      <c r="F276" t="s">
        <v>71</v>
      </c>
      <c r="G276" t="s">
        <v>3402</v>
      </c>
      <c r="H276" s="3">
        <v>43329</v>
      </c>
      <c r="I276" s="3">
        <v>43581</v>
      </c>
    </row>
    <row r="277" spans="1:9" x14ac:dyDescent="0.3">
      <c r="A277" s="2" t="str">
        <f>HYPERLINK("https://www.pcpacanada.ca/negotiation/21041", "Lartruvo  (olaratumab)")</f>
        <v>Lartruvo  (olaratumab)</v>
      </c>
      <c r="B277" t="s">
        <v>133</v>
      </c>
      <c r="C277" t="s">
        <v>3082</v>
      </c>
      <c r="D277" t="s">
        <v>1398</v>
      </c>
      <c r="E277" t="s">
        <v>3403</v>
      </c>
      <c r="F277" t="s">
        <v>133</v>
      </c>
      <c r="G277" t="s">
        <v>3404</v>
      </c>
      <c r="H277" s="3">
        <v>43307</v>
      </c>
      <c r="I277" s="3">
        <v>43496</v>
      </c>
    </row>
    <row r="278" spans="1:9" x14ac:dyDescent="0.3">
      <c r="A278" s="2" t="str">
        <f>HYPERLINK("https://www.pcpacanada.ca/negotiation/21040", "Stivarga  (regorafenib)")</f>
        <v>Stivarga  (regorafenib)</v>
      </c>
      <c r="B278" t="s">
        <v>146</v>
      </c>
      <c r="C278" t="s">
        <v>2893</v>
      </c>
      <c r="D278" t="s">
        <v>3405</v>
      </c>
      <c r="E278" t="s">
        <v>3406</v>
      </c>
      <c r="F278" t="s">
        <v>146</v>
      </c>
      <c r="G278" t="s">
        <v>3407</v>
      </c>
      <c r="H278" s="3">
        <v>43353</v>
      </c>
      <c r="I278" s="3">
        <v>43531</v>
      </c>
    </row>
    <row r="279" spans="1:9" x14ac:dyDescent="0.3">
      <c r="A279" s="2" t="str">
        <f>HYPERLINK("https://www.pcpacanada.ca/negotiation/21039", "Alecensaro  (alectinib)")</f>
        <v>Alecensaro  (alectinib)</v>
      </c>
      <c r="B279" t="s">
        <v>3068</v>
      </c>
      <c r="C279" t="s">
        <v>2893</v>
      </c>
      <c r="D279" t="s">
        <v>2404</v>
      </c>
      <c r="E279" t="s">
        <v>3408</v>
      </c>
      <c r="F279" t="s">
        <v>3068</v>
      </c>
      <c r="G279" t="s">
        <v>3409</v>
      </c>
      <c r="H279" s="3">
        <v>43350</v>
      </c>
      <c r="I279" s="3">
        <v>43445</v>
      </c>
    </row>
    <row r="280" spans="1:9" x14ac:dyDescent="0.3">
      <c r="A280" s="2" t="str">
        <f>HYPERLINK("https://www.pcpacanada.ca/negotiation/21038", "Vectibix  (panitumumab)")</f>
        <v>Vectibix  (panitumumab)</v>
      </c>
      <c r="B280" t="s">
        <v>407</v>
      </c>
      <c r="C280" t="s">
        <v>2908</v>
      </c>
      <c r="D280" t="s">
        <v>3410</v>
      </c>
      <c r="E280" t="s">
        <v>3411</v>
      </c>
      <c r="F280" t="s">
        <v>407</v>
      </c>
      <c r="G280" t="s">
        <v>3412</v>
      </c>
      <c r="H280" s="3" t="s">
        <v>2880</v>
      </c>
      <c r="I280" s="3">
        <v>43230</v>
      </c>
    </row>
    <row r="281" spans="1:9" x14ac:dyDescent="0.3">
      <c r="A281" s="2" t="str">
        <f>HYPERLINK("https://www.pcpacanada.ca/negotiation/21037", "Bavencio  (avelumab)")</f>
        <v>Bavencio  (avelumab)</v>
      </c>
      <c r="B281" t="s">
        <v>2976</v>
      </c>
      <c r="C281" t="s">
        <v>2893</v>
      </c>
      <c r="D281" t="s">
        <v>3413</v>
      </c>
      <c r="E281" t="s">
        <v>3414</v>
      </c>
      <c r="F281" t="s">
        <v>2976</v>
      </c>
      <c r="G281" t="s">
        <v>3415</v>
      </c>
      <c r="H281" s="3">
        <v>43297</v>
      </c>
      <c r="I281" s="3">
        <v>43482</v>
      </c>
    </row>
    <row r="282" spans="1:9" x14ac:dyDescent="0.3">
      <c r="A282" s="2" t="str">
        <f>HYPERLINK("https://www.pcpacanada.ca/negotiation/21036", "Keytruda  (pembrolizumab)")</f>
        <v>Keytruda  (pembrolizumab)</v>
      </c>
      <c r="B282" t="s">
        <v>289</v>
      </c>
      <c r="C282" t="s">
        <v>2893</v>
      </c>
      <c r="D282" t="s">
        <v>3416</v>
      </c>
      <c r="E282" t="s">
        <v>3417</v>
      </c>
      <c r="F282" t="s">
        <v>289</v>
      </c>
      <c r="G282" t="s">
        <v>3418</v>
      </c>
      <c r="H282" s="3">
        <v>43339</v>
      </c>
      <c r="I282" s="3">
        <v>43936</v>
      </c>
    </row>
    <row r="283" spans="1:9" x14ac:dyDescent="0.3">
      <c r="A283" s="2" t="str">
        <f>HYPERLINK("https://www.pcpacanada.ca/negotiation/21035", "Venclexta  (venetoclax)")</f>
        <v>Venclexta  (venetoclax)</v>
      </c>
      <c r="B283" t="s">
        <v>725</v>
      </c>
      <c r="C283" t="s">
        <v>2893</v>
      </c>
      <c r="D283" t="s">
        <v>3007</v>
      </c>
      <c r="E283" t="s">
        <v>3419</v>
      </c>
      <c r="F283" t="s">
        <v>725</v>
      </c>
      <c r="G283" t="s">
        <v>3420</v>
      </c>
      <c r="H283" s="3">
        <v>43272</v>
      </c>
      <c r="I283" s="3">
        <v>43530</v>
      </c>
    </row>
    <row r="284" spans="1:9" x14ac:dyDescent="0.3">
      <c r="A284" s="2" t="str">
        <f>HYPERLINK("https://www.pcpacanada.ca/negotiation/21034", "Adcetris  (brentuximab vedotin)")</f>
        <v>Adcetris  (brentuximab vedotin)</v>
      </c>
      <c r="B284" t="s">
        <v>116</v>
      </c>
      <c r="C284" t="s">
        <v>2893</v>
      </c>
      <c r="D284" t="s">
        <v>3009</v>
      </c>
      <c r="E284" t="s">
        <v>3421</v>
      </c>
      <c r="F284" t="s">
        <v>116</v>
      </c>
      <c r="G284" t="s">
        <v>3422</v>
      </c>
      <c r="H284" s="3">
        <v>43273</v>
      </c>
      <c r="I284" s="3">
        <v>43537</v>
      </c>
    </row>
    <row r="285" spans="1:9" x14ac:dyDescent="0.3">
      <c r="A285" s="2" t="str">
        <f>HYPERLINK("https://www.pcpacanada.ca/negotiation/21033", "Ocrevus  (ocrelizumab)")</f>
        <v>Ocrevus  (ocrelizumab)</v>
      </c>
      <c r="B285" t="s">
        <v>3068</v>
      </c>
      <c r="C285" t="s">
        <v>2893</v>
      </c>
      <c r="D285" t="s">
        <v>3423</v>
      </c>
      <c r="E285" t="s">
        <v>3424</v>
      </c>
      <c r="F285" t="s">
        <v>3068</v>
      </c>
      <c r="G285" t="s">
        <v>1667</v>
      </c>
      <c r="H285" s="3">
        <v>43300</v>
      </c>
      <c r="I285" s="3">
        <v>43509</v>
      </c>
    </row>
    <row r="286" spans="1:9" x14ac:dyDescent="0.3">
      <c r="A286" s="2" t="str">
        <f>HYPERLINK("https://www.pcpacanada.ca/negotiation/21032", "MDK-Nitisinone  (nitisinone)")</f>
        <v>MDK-Nitisinone  (nitisinone)</v>
      </c>
      <c r="B286" t="s">
        <v>1540</v>
      </c>
      <c r="C286" t="s">
        <v>2893</v>
      </c>
      <c r="D286" t="s">
        <v>3202</v>
      </c>
      <c r="E286" t="s">
        <v>3425</v>
      </c>
      <c r="F286" t="s">
        <v>1540</v>
      </c>
      <c r="G286" t="s">
        <v>1539</v>
      </c>
      <c r="H286" s="3">
        <v>43332</v>
      </c>
      <c r="I286" s="3">
        <v>43432</v>
      </c>
    </row>
    <row r="287" spans="1:9" x14ac:dyDescent="0.3">
      <c r="A287" s="2" t="str">
        <f>HYPERLINK("https://www.pcpacanada.ca/negotiation/21031", "Monoprost  (latanoprost)")</f>
        <v>Monoprost  (latanoprost)</v>
      </c>
      <c r="B287" t="s">
        <v>3426</v>
      </c>
      <c r="C287" t="s">
        <v>3082</v>
      </c>
      <c r="D287" t="s">
        <v>3427</v>
      </c>
      <c r="E287" t="s">
        <v>3428</v>
      </c>
      <c r="F287" t="s">
        <v>3426</v>
      </c>
      <c r="G287" t="s">
        <v>1560</v>
      </c>
      <c r="H287" s="3">
        <v>43371</v>
      </c>
      <c r="I287" s="3">
        <v>43705</v>
      </c>
    </row>
    <row r="288" spans="1:9" x14ac:dyDescent="0.3">
      <c r="A288" s="2" t="str">
        <f>HYPERLINK("https://www.pcpacanada.ca/negotiation/21030", "Actemra  (tocilizumab)")</f>
        <v>Actemra  (tocilizumab)</v>
      </c>
      <c r="B288" t="s">
        <v>3068</v>
      </c>
      <c r="C288" t="s">
        <v>2893</v>
      </c>
      <c r="D288" t="s">
        <v>3429</v>
      </c>
      <c r="E288" t="s">
        <v>3430</v>
      </c>
      <c r="F288" t="s">
        <v>3068</v>
      </c>
      <c r="G288" t="s">
        <v>83</v>
      </c>
      <c r="H288" s="3">
        <v>43307</v>
      </c>
      <c r="I288" s="3">
        <v>43440</v>
      </c>
    </row>
    <row r="289" spans="1:9" x14ac:dyDescent="0.3">
      <c r="A289" s="2" t="str">
        <f>HYPERLINK("https://www.pcpacanada.ca/negotiation/21029", "Vemlidy  (tenofovir alafenamide)")</f>
        <v>Vemlidy  (tenofovir alafenamide)</v>
      </c>
      <c r="B289" t="s">
        <v>539</v>
      </c>
      <c r="C289" t="s">
        <v>3082</v>
      </c>
      <c r="D289" t="s">
        <v>1035</v>
      </c>
      <c r="E289" t="s">
        <v>3431</v>
      </c>
      <c r="F289" t="s">
        <v>539</v>
      </c>
      <c r="G289" t="s">
        <v>2554</v>
      </c>
      <c r="H289" s="3">
        <v>43368</v>
      </c>
      <c r="I289" s="3">
        <v>43404</v>
      </c>
    </row>
    <row r="290" spans="1:9" x14ac:dyDescent="0.3">
      <c r="A290" s="2" t="str">
        <f>HYPERLINK("https://www.pcpacanada.ca/negotiation/21028", "Ilaris  (canakinumab)")</f>
        <v>Ilaris  (canakinumab)</v>
      </c>
      <c r="B290" t="s">
        <v>71</v>
      </c>
      <c r="C290" t="s">
        <v>2893</v>
      </c>
      <c r="D290" t="s">
        <v>3432</v>
      </c>
      <c r="E290" t="s">
        <v>3433</v>
      </c>
      <c r="F290" t="s">
        <v>71</v>
      </c>
      <c r="G290" t="s">
        <v>2880</v>
      </c>
      <c r="H290" s="3">
        <v>43217</v>
      </c>
      <c r="I290" s="3">
        <v>43423</v>
      </c>
    </row>
    <row r="291" spans="1:9" x14ac:dyDescent="0.3">
      <c r="A291" s="2" t="str">
        <f>HYPERLINK("https://www.pcpacanada.ca/negotiation/21027", "Renflexis  (infliximab)")</f>
        <v>Renflexis  (infliximab)</v>
      </c>
      <c r="B291" t="s">
        <v>289</v>
      </c>
      <c r="C291" t="s">
        <v>2893</v>
      </c>
      <c r="D291" t="s">
        <v>3434</v>
      </c>
      <c r="E291" t="s">
        <v>3435</v>
      </c>
      <c r="F291" t="s">
        <v>289</v>
      </c>
      <c r="G291" t="s">
        <v>1997</v>
      </c>
      <c r="H291" s="3">
        <v>43203</v>
      </c>
      <c r="I291" s="3">
        <v>43308</v>
      </c>
    </row>
    <row r="292" spans="1:9" x14ac:dyDescent="0.3">
      <c r="A292" s="2" t="str">
        <f>HYPERLINK("https://www.pcpacanada.ca/negotiation/21026", "Izba  (travoprost)")</f>
        <v>Izba  (travoprost)</v>
      </c>
      <c r="B292" t="s">
        <v>71</v>
      </c>
      <c r="C292" t="s">
        <v>2893</v>
      </c>
      <c r="D292" t="s">
        <v>3272</v>
      </c>
      <c r="E292" t="s">
        <v>3436</v>
      </c>
      <c r="F292" t="s">
        <v>71</v>
      </c>
      <c r="G292" t="s">
        <v>1209</v>
      </c>
      <c r="H292" s="3">
        <v>43202</v>
      </c>
      <c r="I292" s="3">
        <v>43440</v>
      </c>
    </row>
    <row r="293" spans="1:9" x14ac:dyDescent="0.3">
      <c r="A293" s="2" t="str">
        <f>HYPERLINK("https://www.pcpacanada.ca/negotiation/21025", "Rexulti  (brexpiprazole)")</f>
        <v>Rexulti  (brexpiprazole)</v>
      </c>
      <c r="B293" t="s">
        <v>3437</v>
      </c>
      <c r="C293" t="s">
        <v>2893</v>
      </c>
      <c r="D293" t="s">
        <v>38</v>
      </c>
      <c r="E293" t="s">
        <v>3438</v>
      </c>
      <c r="F293" t="s">
        <v>3437</v>
      </c>
      <c r="G293" t="s">
        <v>2050</v>
      </c>
      <c r="H293" s="3">
        <v>43194</v>
      </c>
      <c r="I293" s="3">
        <v>43448</v>
      </c>
    </row>
    <row r="294" spans="1:9" x14ac:dyDescent="0.3">
      <c r="A294" s="2" t="str">
        <f>HYPERLINK("https://www.pcpacanada.ca/negotiation/21024", "Galafold  (migalastat)")</f>
        <v>Galafold  (migalastat)</v>
      </c>
      <c r="B294" t="s">
        <v>959</v>
      </c>
      <c r="C294" t="s">
        <v>2893</v>
      </c>
      <c r="D294" t="s">
        <v>3439</v>
      </c>
      <c r="E294" t="s">
        <v>3440</v>
      </c>
      <c r="F294" t="s">
        <v>959</v>
      </c>
      <c r="G294" t="s">
        <v>958</v>
      </c>
      <c r="H294" s="3">
        <v>43187</v>
      </c>
      <c r="I294" s="3">
        <v>43340</v>
      </c>
    </row>
    <row r="295" spans="1:9" x14ac:dyDescent="0.3">
      <c r="A295" s="2" t="str">
        <f>HYPERLINK("https://www.pcpacanada.ca/negotiation/21023", "Fiasp  (insulin aspart)")</f>
        <v>Fiasp  (insulin aspart)</v>
      </c>
      <c r="B295" t="s">
        <v>1433</v>
      </c>
      <c r="C295" t="s">
        <v>3082</v>
      </c>
      <c r="D295" t="s">
        <v>2904</v>
      </c>
      <c r="E295" t="s">
        <v>3441</v>
      </c>
      <c r="F295" t="s">
        <v>1433</v>
      </c>
      <c r="G295" t="s">
        <v>2880</v>
      </c>
      <c r="H295" s="3">
        <v>43175</v>
      </c>
      <c r="I295" s="3">
        <v>43495</v>
      </c>
    </row>
    <row r="296" spans="1:9" x14ac:dyDescent="0.3">
      <c r="A296" s="2" t="str">
        <f>HYPERLINK("https://www.pcpacanada.ca/negotiation/21022", "Pomalyst  (pomalidomide)")</f>
        <v>Pomalyst  (pomalidomide)</v>
      </c>
      <c r="B296" t="s">
        <v>61</v>
      </c>
      <c r="C296" t="s">
        <v>2893</v>
      </c>
      <c r="D296" t="s">
        <v>663</v>
      </c>
      <c r="E296" t="s">
        <v>3442</v>
      </c>
      <c r="F296" t="s">
        <v>61</v>
      </c>
      <c r="G296" t="s">
        <v>2880</v>
      </c>
      <c r="H296" s="3">
        <v>43168</v>
      </c>
      <c r="I296" s="3">
        <v>43306</v>
      </c>
    </row>
    <row r="297" spans="1:9" x14ac:dyDescent="0.3">
      <c r="A297" s="2" t="str">
        <f>HYPERLINK("https://www.pcpacanada.ca/negotiation/21021", "Mictoryl Pediatric  (propiverine hydrochloride)")</f>
        <v>Mictoryl Pediatric  (propiverine hydrochloride)</v>
      </c>
      <c r="B297" t="s">
        <v>1548</v>
      </c>
      <c r="C297" t="s">
        <v>2893</v>
      </c>
      <c r="D297" t="s">
        <v>975</v>
      </c>
      <c r="E297" t="s">
        <v>3443</v>
      </c>
      <c r="F297" t="s">
        <v>1548</v>
      </c>
      <c r="G297" t="s">
        <v>3444</v>
      </c>
      <c r="H297" s="3">
        <v>42977</v>
      </c>
      <c r="I297" s="3">
        <v>43143</v>
      </c>
    </row>
    <row r="298" spans="1:9" x14ac:dyDescent="0.3">
      <c r="A298" s="2" t="str">
        <f>HYPERLINK("https://www.pcpacanada.ca/negotiation/21020", "Jevtana  (cabazitaxel)")</f>
        <v>Jevtana  (cabazitaxel)</v>
      </c>
      <c r="B298" t="s">
        <v>152</v>
      </c>
      <c r="C298" t="s">
        <v>2893</v>
      </c>
      <c r="D298" t="s">
        <v>3445</v>
      </c>
      <c r="E298" t="s">
        <v>3446</v>
      </c>
      <c r="F298" t="s">
        <v>152</v>
      </c>
      <c r="G298" t="s">
        <v>2880</v>
      </c>
      <c r="H298" s="3">
        <v>43159</v>
      </c>
      <c r="I298" s="3">
        <v>43411</v>
      </c>
    </row>
    <row r="299" spans="1:9" x14ac:dyDescent="0.3">
      <c r="A299" s="2" t="str">
        <f>HYPERLINK("https://www.pcpacanada.ca/negotiation/21019", "Rosiver  (ivermectin)")</f>
        <v>Rosiver  (ivermectin)</v>
      </c>
      <c r="B299" t="s">
        <v>267</v>
      </c>
      <c r="C299" t="s">
        <v>3082</v>
      </c>
      <c r="D299" t="s">
        <v>265</v>
      </c>
      <c r="E299" t="s">
        <v>3447</v>
      </c>
      <c r="F299" t="s">
        <v>267</v>
      </c>
      <c r="G299" t="s">
        <v>2880</v>
      </c>
      <c r="H299" s="3">
        <v>43154</v>
      </c>
      <c r="I299" s="3">
        <v>43243</v>
      </c>
    </row>
    <row r="300" spans="1:9" x14ac:dyDescent="0.3">
      <c r="A300" s="2" t="str">
        <f>HYPERLINK("https://www.pcpacanada.ca/negotiation/21018", "Rydapt  (midostaurin)")</f>
        <v>Rydapt  (midostaurin)</v>
      </c>
      <c r="B300" t="s">
        <v>71</v>
      </c>
      <c r="C300" t="s">
        <v>2893</v>
      </c>
      <c r="D300" t="s">
        <v>2081</v>
      </c>
      <c r="E300" t="s">
        <v>3448</v>
      </c>
      <c r="F300" t="s">
        <v>71</v>
      </c>
      <c r="G300" t="s">
        <v>3449</v>
      </c>
      <c r="H300" s="3">
        <v>43133</v>
      </c>
      <c r="I300" s="3">
        <v>43286</v>
      </c>
    </row>
    <row r="301" spans="1:9" x14ac:dyDescent="0.3">
      <c r="A301" s="2" t="str">
        <f>HYPERLINK("https://www.pcpacanada.ca/negotiation/21017", "Lynparza  (olaparib)")</f>
        <v>Lynparza  (olaparib)</v>
      </c>
      <c r="B301" t="s">
        <v>465</v>
      </c>
      <c r="C301" t="s">
        <v>2893</v>
      </c>
      <c r="D301" t="s">
        <v>3059</v>
      </c>
      <c r="E301" t="s">
        <v>3450</v>
      </c>
      <c r="F301" t="s">
        <v>465</v>
      </c>
      <c r="G301" t="s">
        <v>3451</v>
      </c>
      <c r="H301" s="3">
        <v>43018</v>
      </c>
      <c r="I301" s="3">
        <v>43235</v>
      </c>
    </row>
    <row r="302" spans="1:9" x14ac:dyDescent="0.3">
      <c r="A302" s="2" t="str">
        <f>HYPERLINK("https://www.pcpacanada.ca/negotiation/21016", "Tagrisso  (osimertinib)")</f>
        <v>Tagrisso  (osimertinib)</v>
      </c>
      <c r="B302" t="s">
        <v>465</v>
      </c>
      <c r="C302" t="s">
        <v>2893</v>
      </c>
      <c r="D302" t="s">
        <v>3070</v>
      </c>
      <c r="E302" t="s">
        <v>3452</v>
      </c>
      <c r="F302" t="s">
        <v>465</v>
      </c>
      <c r="G302" t="s">
        <v>3453</v>
      </c>
      <c r="H302" s="3">
        <v>43007</v>
      </c>
      <c r="I302" s="3">
        <v>43311</v>
      </c>
    </row>
    <row r="303" spans="1:9" x14ac:dyDescent="0.3">
      <c r="A303" s="2" t="str">
        <f>HYPERLINK("https://www.pcpacanada.ca/negotiation/21015", "Gazyva  (obinutuzumab)")</f>
        <v>Gazyva  (obinutuzumab)</v>
      </c>
      <c r="B303" t="s">
        <v>3068</v>
      </c>
      <c r="C303" t="s">
        <v>2893</v>
      </c>
      <c r="D303" t="s">
        <v>967</v>
      </c>
      <c r="E303" t="s">
        <v>3454</v>
      </c>
      <c r="F303" t="s">
        <v>3068</v>
      </c>
      <c r="G303" t="s">
        <v>3455</v>
      </c>
      <c r="H303" s="3">
        <v>43018</v>
      </c>
      <c r="I303" s="3">
        <v>43116</v>
      </c>
    </row>
    <row r="304" spans="1:9" x14ac:dyDescent="0.3">
      <c r="A304" s="2" t="str">
        <f>HYPERLINK("https://www.pcpacanada.ca/negotiation/21014", "Orfadin  (nitisinone)")</f>
        <v>Orfadin  (nitisinone)</v>
      </c>
      <c r="B304" t="s">
        <v>1793</v>
      </c>
      <c r="C304" t="s">
        <v>2893</v>
      </c>
      <c r="D304" t="s">
        <v>3202</v>
      </c>
      <c r="E304" t="s">
        <v>3456</v>
      </c>
      <c r="F304" t="s">
        <v>1793</v>
      </c>
      <c r="G304" t="s">
        <v>1792</v>
      </c>
      <c r="H304" s="3">
        <v>43332</v>
      </c>
      <c r="I304" s="3">
        <v>43432</v>
      </c>
    </row>
    <row r="305" spans="1:9" x14ac:dyDescent="0.3">
      <c r="A305" s="2" t="str">
        <f>HYPERLINK("https://www.pcpacanada.ca/negotiation/21013", "Tremfya  (guselkumab)")</f>
        <v>Tremfya  (guselkumab)</v>
      </c>
      <c r="B305" t="s">
        <v>665</v>
      </c>
      <c r="C305" t="s">
        <v>3082</v>
      </c>
      <c r="D305" t="s">
        <v>558</v>
      </c>
      <c r="E305" t="s">
        <v>3457</v>
      </c>
      <c r="F305" t="s">
        <v>665</v>
      </c>
      <c r="G305" t="s">
        <v>2455</v>
      </c>
      <c r="H305" s="3">
        <v>43403</v>
      </c>
      <c r="I305" s="3">
        <v>43637</v>
      </c>
    </row>
    <row r="306" spans="1:9" x14ac:dyDescent="0.3">
      <c r="A306" s="2" t="str">
        <f>HYPERLINK("https://www.pcpacanada.ca/negotiation/21012", "Procysbi  (cysteamine bitartrate)")</f>
        <v>Procysbi  (cysteamine bitartrate)</v>
      </c>
      <c r="B306" t="s">
        <v>3458</v>
      </c>
      <c r="C306" t="s">
        <v>2893</v>
      </c>
      <c r="D306" t="s">
        <v>1924</v>
      </c>
      <c r="E306" t="s">
        <v>3459</v>
      </c>
      <c r="F306" t="s">
        <v>3458</v>
      </c>
      <c r="G306" t="s">
        <v>1925</v>
      </c>
      <c r="H306" s="3">
        <v>43140</v>
      </c>
      <c r="I306" s="3">
        <v>43301</v>
      </c>
    </row>
    <row r="307" spans="1:9" x14ac:dyDescent="0.3">
      <c r="A307" s="2" t="str">
        <f>HYPERLINK("https://www.pcpacanada.ca/negotiation/21011", "Maviret  (glecaprevir/pibrentasvir)")</f>
        <v>Maviret  (glecaprevir/pibrentasvir)</v>
      </c>
      <c r="B307" t="s">
        <v>725</v>
      </c>
      <c r="C307" t="s">
        <v>2893</v>
      </c>
      <c r="D307" t="s">
        <v>3325</v>
      </c>
      <c r="E307" t="s">
        <v>3460</v>
      </c>
      <c r="F307" t="s">
        <v>725</v>
      </c>
      <c r="G307" t="s">
        <v>1533</v>
      </c>
      <c r="H307" s="3">
        <v>43280</v>
      </c>
      <c r="I307" s="3">
        <v>43453</v>
      </c>
    </row>
    <row r="308" spans="1:9" x14ac:dyDescent="0.3">
      <c r="A308" s="2" t="str">
        <f>HYPERLINK("https://www.pcpacanada.ca/negotiation/21010", "Movapo  (apomorphine hydrochloride)")</f>
        <v>Movapo  (apomorphine hydrochloride)</v>
      </c>
      <c r="B308" t="s">
        <v>67</v>
      </c>
      <c r="C308" t="s">
        <v>2893</v>
      </c>
      <c r="D308" t="s">
        <v>2989</v>
      </c>
      <c r="E308" t="s">
        <v>3461</v>
      </c>
      <c r="F308" t="s">
        <v>67</v>
      </c>
      <c r="G308" t="s">
        <v>1562</v>
      </c>
      <c r="H308" s="3">
        <v>43280</v>
      </c>
      <c r="I308" s="3">
        <v>43551</v>
      </c>
    </row>
    <row r="309" spans="1:9" x14ac:dyDescent="0.3">
      <c r="A309" s="2" t="str">
        <f>HYPERLINK("https://www.pcpacanada.ca/negotiation/21009", "Vosevi  (sofosbuvir/velpatasvir/voxilaprevir)")</f>
        <v>Vosevi  (sofosbuvir/velpatasvir/voxilaprevir)</v>
      </c>
      <c r="B309" t="s">
        <v>539</v>
      </c>
      <c r="C309" t="s">
        <v>2893</v>
      </c>
      <c r="D309" t="s">
        <v>3325</v>
      </c>
      <c r="E309" t="s">
        <v>3462</v>
      </c>
      <c r="F309" t="s">
        <v>539</v>
      </c>
      <c r="G309" t="s">
        <v>2641</v>
      </c>
      <c r="H309" s="3">
        <v>43145</v>
      </c>
      <c r="I309" s="3">
        <v>43145</v>
      </c>
    </row>
    <row r="310" spans="1:9" x14ac:dyDescent="0.3">
      <c r="A310" s="2" t="str">
        <f>HYPERLINK("https://www.pcpacanada.ca/negotiation/21008", "Spinraza  (nusinersen)")</f>
        <v>Spinraza  (nusinersen)</v>
      </c>
      <c r="B310" t="s">
        <v>1874</v>
      </c>
      <c r="C310" t="s">
        <v>2893</v>
      </c>
      <c r="D310" t="s">
        <v>2170</v>
      </c>
      <c r="E310" t="s">
        <v>3463</v>
      </c>
      <c r="F310" t="s">
        <v>1874</v>
      </c>
      <c r="G310" t="s">
        <v>2171</v>
      </c>
      <c r="H310" s="3">
        <v>43129</v>
      </c>
      <c r="I310" s="3">
        <v>43369</v>
      </c>
    </row>
    <row r="311" spans="1:9" x14ac:dyDescent="0.3">
      <c r="A311" s="2" t="str">
        <f>HYPERLINK("https://www.pcpacanada.ca/negotiation/21007", "Zykadia  (ceritinib)")</f>
        <v>Zykadia  (ceritinib)</v>
      </c>
      <c r="B311" t="s">
        <v>71</v>
      </c>
      <c r="C311" t="s">
        <v>2893</v>
      </c>
      <c r="D311" t="s">
        <v>3070</v>
      </c>
      <c r="E311" t="s">
        <v>3464</v>
      </c>
      <c r="F311" t="s">
        <v>71</v>
      </c>
      <c r="G311" t="s">
        <v>3465</v>
      </c>
      <c r="H311" s="3">
        <v>42929</v>
      </c>
      <c r="I311" s="3">
        <v>43179</v>
      </c>
    </row>
    <row r="312" spans="1:9" x14ac:dyDescent="0.3">
      <c r="A312" s="2" t="str">
        <f>HYPERLINK("https://www.pcpacanada.ca/negotiation/21006", "Viacoram  (perindopril arginine/amlodipine)")</f>
        <v>Viacoram  (perindopril arginine/amlodipine)</v>
      </c>
      <c r="B312" t="s">
        <v>372</v>
      </c>
      <c r="C312" t="s">
        <v>3082</v>
      </c>
      <c r="D312" t="s">
        <v>231</v>
      </c>
      <c r="E312" t="s">
        <v>3466</v>
      </c>
      <c r="F312" t="s">
        <v>372</v>
      </c>
      <c r="G312" t="s">
        <v>2880</v>
      </c>
      <c r="H312" s="3">
        <v>43209</v>
      </c>
      <c r="I312" s="3">
        <v>43607</v>
      </c>
    </row>
    <row r="313" spans="1:9" x14ac:dyDescent="0.3">
      <c r="A313" s="2" t="str">
        <f>HYPERLINK("https://www.pcpacanada.ca/negotiation/21005", "Adlyxine  (lixisenatide)")</f>
        <v>Adlyxine  (lixisenatide)</v>
      </c>
      <c r="B313" t="s">
        <v>152</v>
      </c>
      <c r="C313" t="s">
        <v>2893</v>
      </c>
      <c r="D313" t="s">
        <v>1192</v>
      </c>
      <c r="E313" t="s">
        <v>3467</v>
      </c>
      <c r="F313" t="s">
        <v>152</v>
      </c>
      <c r="G313" t="s">
        <v>151</v>
      </c>
      <c r="H313" s="3">
        <v>43217</v>
      </c>
      <c r="I313" s="3">
        <v>43790</v>
      </c>
    </row>
    <row r="314" spans="1:9" x14ac:dyDescent="0.3">
      <c r="A314" s="2" t="str">
        <f>HYPERLINK("https://www.pcpacanada.ca/negotiation/21004", "Repatha  (evolocumab)")</f>
        <v>Repatha  (evolocumab)</v>
      </c>
      <c r="B314" t="s">
        <v>407</v>
      </c>
      <c r="C314" t="s">
        <v>3082</v>
      </c>
      <c r="D314" t="s">
        <v>2001</v>
      </c>
      <c r="E314" t="s">
        <v>3468</v>
      </c>
      <c r="F314" t="s">
        <v>407</v>
      </c>
      <c r="G314" t="s">
        <v>2002</v>
      </c>
      <c r="H314" s="3">
        <v>43320</v>
      </c>
      <c r="I314" s="3">
        <v>43671</v>
      </c>
    </row>
    <row r="315" spans="1:9" x14ac:dyDescent="0.3">
      <c r="A315" s="2" t="str">
        <f>HYPERLINK("https://www.pcpacanada.ca/negotiation/21003", "Ocrevus  (ocrelizumab)")</f>
        <v>Ocrevus  (ocrelizumab)</v>
      </c>
      <c r="B315" t="s">
        <v>3068</v>
      </c>
      <c r="C315" t="s">
        <v>2893</v>
      </c>
      <c r="D315" t="s">
        <v>1669</v>
      </c>
      <c r="E315" t="s">
        <v>3469</v>
      </c>
      <c r="F315" t="s">
        <v>3068</v>
      </c>
      <c r="G315" t="s">
        <v>1670</v>
      </c>
      <c r="H315" s="3">
        <v>43300</v>
      </c>
      <c r="I315" s="3">
        <v>43509</v>
      </c>
    </row>
    <row r="316" spans="1:9" x14ac:dyDescent="0.3">
      <c r="A316" s="2" t="str">
        <f>HYPERLINK("https://www.pcpacanada.ca/negotiation/21002", "Tresiba  (insulin degludec)")</f>
        <v>Tresiba  (insulin degludec)</v>
      </c>
      <c r="B316" t="s">
        <v>1433</v>
      </c>
      <c r="C316" t="s">
        <v>2893</v>
      </c>
      <c r="D316" t="s">
        <v>2904</v>
      </c>
      <c r="E316" t="s">
        <v>3470</v>
      </c>
      <c r="F316" t="s">
        <v>1433</v>
      </c>
      <c r="G316" t="s">
        <v>2457</v>
      </c>
      <c r="H316" s="3">
        <v>43220</v>
      </c>
      <c r="I316" s="3">
        <v>43307</v>
      </c>
    </row>
    <row r="317" spans="1:9" x14ac:dyDescent="0.3">
      <c r="A317" s="2" t="str">
        <f>HYPERLINK("https://www.pcpacanada.ca/negotiation/21001", "Stivarga  (regorafenib)")</f>
        <v>Stivarga  (regorafenib)</v>
      </c>
      <c r="B317" t="s">
        <v>146</v>
      </c>
      <c r="C317" t="s">
        <v>2908</v>
      </c>
      <c r="D317" t="s">
        <v>324</v>
      </c>
      <c r="E317" t="s">
        <v>3471</v>
      </c>
      <c r="F317" t="s">
        <v>146</v>
      </c>
      <c r="G317" t="s">
        <v>3472</v>
      </c>
      <c r="H317" s="3" t="s">
        <v>2880</v>
      </c>
      <c r="I317" s="3">
        <v>42247</v>
      </c>
    </row>
    <row r="318" spans="1:9" x14ac:dyDescent="0.3">
      <c r="A318" s="2" t="str">
        <f>HYPERLINK("https://www.pcpacanada.ca/negotiation/21000", "VPRIV  (velaglucerase)")</f>
        <v>VPRIV  (velaglucerase)</v>
      </c>
      <c r="B318" t="s">
        <v>2280</v>
      </c>
      <c r="C318" t="s">
        <v>2893</v>
      </c>
      <c r="D318" t="s">
        <v>545</v>
      </c>
      <c r="E318" t="s">
        <v>3473</v>
      </c>
      <c r="F318" t="s">
        <v>2280</v>
      </c>
      <c r="G318" t="s">
        <v>2880</v>
      </c>
      <c r="H318" s="3">
        <v>43056</v>
      </c>
      <c r="I318" s="3">
        <v>43206</v>
      </c>
    </row>
    <row r="319" spans="1:9" x14ac:dyDescent="0.3">
      <c r="A319" s="2" t="str">
        <f>HYPERLINK("https://www.pcpacanada.ca/negotiation/20999", "Elelyso  (taliglucerase alfa)")</f>
        <v>Elelyso  (taliglucerase alfa)</v>
      </c>
      <c r="B319" t="s">
        <v>445</v>
      </c>
      <c r="C319" t="s">
        <v>2893</v>
      </c>
      <c r="D319" t="s">
        <v>545</v>
      </c>
      <c r="E319" t="s">
        <v>3474</v>
      </c>
      <c r="F319" t="s">
        <v>445</v>
      </c>
      <c r="G319" t="s">
        <v>2880</v>
      </c>
      <c r="H319" s="3">
        <v>43056</v>
      </c>
      <c r="I319" s="3">
        <v>43237</v>
      </c>
    </row>
    <row r="320" spans="1:9" x14ac:dyDescent="0.3">
      <c r="A320" s="2" t="str">
        <f>HYPERLINK("https://www.pcpacanada.ca/negotiation/20998", "Cerezyme  (imiglucerase)")</f>
        <v>Cerezyme  (imiglucerase)</v>
      </c>
      <c r="B320" t="s">
        <v>3475</v>
      </c>
      <c r="C320" t="s">
        <v>3082</v>
      </c>
      <c r="D320" t="s">
        <v>545</v>
      </c>
      <c r="E320" t="s">
        <v>3476</v>
      </c>
      <c r="F320" t="s">
        <v>3475</v>
      </c>
      <c r="G320" t="s">
        <v>2880</v>
      </c>
      <c r="H320" s="3">
        <v>43055</v>
      </c>
      <c r="I320" s="3">
        <v>43251</v>
      </c>
    </row>
    <row r="321" spans="1:9" x14ac:dyDescent="0.3">
      <c r="A321" s="2" t="str">
        <f>HYPERLINK("https://www.pcpacanada.ca/negotiation/20997", "Kyleena  (levonorgestrel)")</f>
        <v>Kyleena  (levonorgestrel)</v>
      </c>
      <c r="B321" t="s">
        <v>146</v>
      </c>
      <c r="C321" t="s">
        <v>2893</v>
      </c>
      <c r="D321" t="s">
        <v>3477</v>
      </c>
      <c r="E321" t="s">
        <v>3478</v>
      </c>
      <c r="F321" t="s">
        <v>146</v>
      </c>
      <c r="G321" t="s">
        <v>2880</v>
      </c>
      <c r="H321" s="3">
        <v>43007</v>
      </c>
      <c r="I321" s="3">
        <v>43210</v>
      </c>
    </row>
    <row r="322" spans="1:9" x14ac:dyDescent="0.3">
      <c r="A322" s="2" t="str">
        <f>HYPERLINK("https://www.pcpacanada.ca/negotiation/20996", "Invega Trinza  (paliperidone palmitate)")</f>
        <v>Invega Trinza  (paliperidone palmitate)</v>
      </c>
      <c r="B322" t="s">
        <v>665</v>
      </c>
      <c r="C322" t="s">
        <v>2893</v>
      </c>
      <c r="D322" t="s">
        <v>38</v>
      </c>
      <c r="E322" t="s">
        <v>3479</v>
      </c>
      <c r="F322" t="s">
        <v>665</v>
      </c>
      <c r="G322" t="s">
        <v>2880</v>
      </c>
      <c r="H322" s="3">
        <v>42664</v>
      </c>
      <c r="I322" s="3">
        <v>43136</v>
      </c>
    </row>
    <row r="323" spans="1:9" x14ac:dyDescent="0.3">
      <c r="A323" s="2" t="str">
        <f>HYPERLINK("https://www.pcpacanada.ca/negotiation/20995", "Strensiq  (asfotase alfa)")</f>
        <v>Strensiq  (asfotase alfa)</v>
      </c>
      <c r="B323" t="s">
        <v>3056</v>
      </c>
      <c r="C323" t="s">
        <v>2893</v>
      </c>
      <c r="D323" t="s">
        <v>3480</v>
      </c>
      <c r="E323" t="s">
        <v>3481</v>
      </c>
      <c r="F323" t="s">
        <v>3056</v>
      </c>
      <c r="G323" t="s">
        <v>2880</v>
      </c>
      <c r="H323" s="3">
        <v>42893</v>
      </c>
      <c r="I323" s="3">
        <v>43109</v>
      </c>
    </row>
    <row r="324" spans="1:9" x14ac:dyDescent="0.3">
      <c r="A324" s="2" t="str">
        <f>HYPERLINK("https://www.pcpacanada.ca/negotiation/20994", "Narcan  (naloxone hydrochloride)")</f>
        <v>Narcan  (naloxone hydrochloride)</v>
      </c>
      <c r="B324" t="s">
        <v>3482</v>
      </c>
      <c r="C324" t="s">
        <v>2893</v>
      </c>
      <c r="D324" t="s">
        <v>3483</v>
      </c>
      <c r="E324" t="s">
        <v>3484</v>
      </c>
      <c r="F324" t="s">
        <v>3482</v>
      </c>
      <c r="G324" t="s">
        <v>2880</v>
      </c>
      <c r="H324" s="3">
        <v>42912</v>
      </c>
      <c r="I324" s="3">
        <v>43103</v>
      </c>
    </row>
    <row r="325" spans="1:9" x14ac:dyDescent="0.3">
      <c r="A325" s="2" t="str">
        <f>HYPERLINK("https://www.pcpacanada.ca/negotiation/20993", "Methadose  (methadone hydrochloride)")</f>
        <v>Methadose  (methadone hydrochloride)</v>
      </c>
      <c r="B325" t="s">
        <v>3485</v>
      </c>
      <c r="C325" t="s">
        <v>3082</v>
      </c>
      <c r="D325" t="s">
        <v>3486</v>
      </c>
      <c r="E325" t="s">
        <v>3487</v>
      </c>
      <c r="F325" t="s">
        <v>3485</v>
      </c>
      <c r="G325" t="s">
        <v>2880</v>
      </c>
      <c r="H325" s="3">
        <v>42944</v>
      </c>
      <c r="I325" s="3">
        <v>43069</v>
      </c>
    </row>
    <row r="326" spans="1:9" x14ac:dyDescent="0.3">
      <c r="A326" s="2" t="str">
        <f>HYPERLINK("https://www.pcpacanada.ca/negotiation/20992", "Metoject  (methotrexate)")</f>
        <v>Metoject  (methotrexate)</v>
      </c>
      <c r="B326" t="s">
        <v>3089</v>
      </c>
      <c r="C326" t="s">
        <v>2893</v>
      </c>
      <c r="D326" t="s">
        <v>3434</v>
      </c>
      <c r="E326" t="s">
        <v>3488</v>
      </c>
      <c r="F326" t="s">
        <v>3089</v>
      </c>
      <c r="G326" t="s">
        <v>2880</v>
      </c>
      <c r="H326" s="3">
        <v>42522</v>
      </c>
      <c r="I326" s="3">
        <v>43059</v>
      </c>
    </row>
    <row r="327" spans="1:9" x14ac:dyDescent="0.3">
      <c r="A327" s="2" t="str">
        <f>HYPERLINK("https://www.pcpacanada.ca/negotiation/20991", "Copaxone  (glatiramer acetate)")</f>
        <v>Copaxone  (glatiramer acetate)</v>
      </c>
      <c r="B327" t="s">
        <v>3093</v>
      </c>
      <c r="C327" t="s">
        <v>3082</v>
      </c>
      <c r="D327" t="s">
        <v>3489</v>
      </c>
      <c r="E327" t="s">
        <v>3490</v>
      </c>
      <c r="F327" t="s">
        <v>3093</v>
      </c>
      <c r="G327" t="s">
        <v>2880</v>
      </c>
      <c r="H327" s="3">
        <v>42696</v>
      </c>
      <c r="I327" s="3">
        <v>43433</v>
      </c>
    </row>
    <row r="328" spans="1:9" x14ac:dyDescent="0.3">
      <c r="A328" s="2" t="str">
        <f>HYPERLINK("https://www.pcpacanada.ca/negotiation/20990", "Botox  (onabotulinumtoxin a)")</f>
        <v>Botox  (onabotulinumtoxin a)</v>
      </c>
      <c r="B328" t="s">
        <v>434</v>
      </c>
      <c r="C328" t="s">
        <v>2893</v>
      </c>
      <c r="D328" t="s">
        <v>3314</v>
      </c>
      <c r="E328" t="s">
        <v>3491</v>
      </c>
      <c r="F328" t="s">
        <v>434</v>
      </c>
      <c r="G328" t="s">
        <v>2880</v>
      </c>
      <c r="H328" s="3">
        <v>42720</v>
      </c>
      <c r="I328" s="3">
        <v>43159</v>
      </c>
    </row>
    <row r="329" spans="1:9" x14ac:dyDescent="0.3">
      <c r="A329" s="2" t="str">
        <f>HYPERLINK("https://www.pcpacanada.ca/negotiation/20989", "Faslodex  (fulvestrant)")</f>
        <v>Faslodex  (fulvestrant)</v>
      </c>
      <c r="B329" t="s">
        <v>465</v>
      </c>
      <c r="C329" t="s">
        <v>3082</v>
      </c>
      <c r="D329" t="s">
        <v>3492</v>
      </c>
      <c r="E329" t="s">
        <v>3493</v>
      </c>
      <c r="F329" t="s">
        <v>465</v>
      </c>
      <c r="G329" t="s">
        <v>3494</v>
      </c>
      <c r="H329" s="3">
        <v>43315</v>
      </c>
      <c r="I329" s="3">
        <v>43494</v>
      </c>
    </row>
    <row r="330" spans="1:9" x14ac:dyDescent="0.3">
      <c r="A330" s="2" t="str">
        <f>HYPERLINK("https://www.pcpacanada.ca/negotiation/20988", "Keytruda  (pembrolizumab)")</f>
        <v>Keytruda  (pembrolizumab)</v>
      </c>
      <c r="B330" t="s">
        <v>289</v>
      </c>
      <c r="C330" t="s">
        <v>2893</v>
      </c>
      <c r="D330" t="s">
        <v>3398</v>
      </c>
      <c r="E330" t="s">
        <v>3495</v>
      </c>
      <c r="F330" t="s">
        <v>289</v>
      </c>
      <c r="G330" t="s">
        <v>3496</v>
      </c>
      <c r="H330" s="3">
        <v>43383</v>
      </c>
      <c r="I330" s="3">
        <v>43936</v>
      </c>
    </row>
    <row r="331" spans="1:9" x14ac:dyDescent="0.3">
      <c r="A331" s="2" t="str">
        <f>HYPERLINK("https://www.pcpacanada.ca/negotiation/20987", "Onivyde  (irinotecan liposome)")</f>
        <v>Onivyde  (irinotecan liposome)</v>
      </c>
      <c r="B331" t="s">
        <v>2280</v>
      </c>
      <c r="C331" t="s">
        <v>3082</v>
      </c>
      <c r="D331" t="s">
        <v>54</v>
      </c>
      <c r="E331" t="s">
        <v>3497</v>
      </c>
      <c r="F331" t="s">
        <v>2280</v>
      </c>
      <c r="G331" t="s">
        <v>3498</v>
      </c>
      <c r="H331" s="3">
        <v>43490</v>
      </c>
      <c r="I331" s="3">
        <v>43623</v>
      </c>
    </row>
    <row r="332" spans="1:9" x14ac:dyDescent="0.3">
      <c r="A332" s="2" t="str">
        <f>HYPERLINK("https://www.pcpacanada.ca/negotiation/20986", "Yervoy/Opdivo  (nivolumab/ipilimumab)")</f>
        <v>Yervoy/Opdivo  (nivolumab/ipilimumab)</v>
      </c>
      <c r="B332" t="s">
        <v>658</v>
      </c>
      <c r="C332" t="s">
        <v>2893</v>
      </c>
      <c r="D332" t="s">
        <v>1313</v>
      </c>
      <c r="E332" t="s">
        <v>3499</v>
      </c>
      <c r="F332" t="s">
        <v>658</v>
      </c>
      <c r="G332" t="s">
        <v>3500</v>
      </c>
      <c r="H332" s="3">
        <v>43264</v>
      </c>
      <c r="I332" s="3">
        <v>43544</v>
      </c>
    </row>
    <row r="333" spans="1:9" x14ac:dyDescent="0.3">
      <c r="A333" s="2" t="str">
        <f>HYPERLINK("https://www.pcpacanada.ca/negotiation/20985", "Glatect  (glatiramer acetate)")</f>
        <v>Glatect  (glatiramer acetate)</v>
      </c>
      <c r="B333" t="s">
        <v>1003</v>
      </c>
      <c r="C333" t="s">
        <v>2893</v>
      </c>
      <c r="D333" t="s">
        <v>2818</v>
      </c>
      <c r="E333" t="s">
        <v>3501</v>
      </c>
      <c r="F333" t="s">
        <v>1003</v>
      </c>
      <c r="G333" t="s">
        <v>3502</v>
      </c>
      <c r="H333" s="3">
        <v>42986</v>
      </c>
      <c r="I333" s="3">
        <v>43160</v>
      </c>
    </row>
    <row r="334" spans="1:9" x14ac:dyDescent="0.3">
      <c r="A334" s="2" t="str">
        <f>HYPERLINK("https://www.pcpacanada.ca/negotiation/20984", "Cerdelga  (eliglustat)")</f>
        <v>Cerdelga  (eliglustat)</v>
      </c>
      <c r="B334" t="s">
        <v>3475</v>
      </c>
      <c r="C334" t="s">
        <v>3082</v>
      </c>
      <c r="D334" t="s">
        <v>545</v>
      </c>
      <c r="E334" t="s">
        <v>3503</v>
      </c>
      <c r="F334" t="s">
        <v>3475</v>
      </c>
      <c r="G334" t="s">
        <v>546</v>
      </c>
      <c r="H334" s="3">
        <v>43055</v>
      </c>
      <c r="I334" s="3">
        <v>43251</v>
      </c>
    </row>
    <row r="335" spans="1:9" x14ac:dyDescent="0.3">
      <c r="A335" s="2" t="str">
        <f>HYPERLINK("https://www.pcpacanada.ca/negotiation/20983", "Ocaliva  (obeticholic acid)")</f>
        <v>Ocaliva  (obeticholic acid)</v>
      </c>
      <c r="B335" t="s">
        <v>3504</v>
      </c>
      <c r="C335" t="s">
        <v>2893</v>
      </c>
      <c r="D335" t="s">
        <v>3505</v>
      </c>
      <c r="E335" t="s">
        <v>3506</v>
      </c>
      <c r="F335" t="s">
        <v>3504</v>
      </c>
      <c r="G335" t="s">
        <v>1663</v>
      </c>
      <c r="H335" s="3">
        <v>43077</v>
      </c>
      <c r="I335" s="3">
        <v>43278</v>
      </c>
    </row>
    <row r="336" spans="1:9" x14ac:dyDescent="0.3">
      <c r="A336" s="2" t="str">
        <f>HYPERLINK("https://www.pcpacanada.ca/negotiation/20982", "Caprelsa  (vandetanib)")</f>
        <v>Caprelsa  (vandetanib)</v>
      </c>
      <c r="B336" t="s">
        <v>3475</v>
      </c>
      <c r="C336" t="s">
        <v>2893</v>
      </c>
      <c r="D336" t="s">
        <v>531</v>
      </c>
      <c r="E336" t="s">
        <v>3507</v>
      </c>
      <c r="F336" t="s">
        <v>3475</v>
      </c>
      <c r="G336" t="s">
        <v>2880</v>
      </c>
      <c r="H336" s="3">
        <v>43097</v>
      </c>
      <c r="I336" s="3">
        <v>43252</v>
      </c>
    </row>
    <row r="337" spans="1:9" x14ac:dyDescent="0.3">
      <c r="A337" s="2" t="str">
        <f>HYPERLINK("https://www.pcpacanada.ca/negotiation/20981", "Erelzi  (etanercept)")</f>
        <v>Erelzi  (etanercept)</v>
      </c>
      <c r="B337" t="s">
        <v>837</v>
      </c>
      <c r="C337" t="s">
        <v>2893</v>
      </c>
      <c r="D337" t="s">
        <v>3508</v>
      </c>
      <c r="E337" t="s">
        <v>3509</v>
      </c>
      <c r="F337" t="s">
        <v>837</v>
      </c>
      <c r="G337" t="s">
        <v>836</v>
      </c>
      <c r="H337" s="3">
        <v>42846</v>
      </c>
      <c r="I337" s="3">
        <v>43025</v>
      </c>
    </row>
    <row r="338" spans="1:9" x14ac:dyDescent="0.3">
      <c r="A338" s="2" t="str">
        <f>HYPERLINK("https://www.pcpacanada.ca/negotiation/20980", "Zinbryta  (daclizumab beta)")</f>
        <v>Zinbryta  (daclizumab beta)</v>
      </c>
      <c r="B338" t="s">
        <v>1874</v>
      </c>
      <c r="C338" t="s">
        <v>2908</v>
      </c>
      <c r="D338" t="s">
        <v>1287</v>
      </c>
      <c r="E338" t="s">
        <v>3510</v>
      </c>
      <c r="F338" t="s">
        <v>1874</v>
      </c>
      <c r="G338" t="s">
        <v>2822</v>
      </c>
      <c r="H338" s="3" t="s">
        <v>2880</v>
      </c>
      <c r="I338" s="3">
        <v>43188</v>
      </c>
    </row>
    <row r="339" spans="1:9" x14ac:dyDescent="0.3">
      <c r="A339" s="2" t="str">
        <f>HYPERLINK("https://www.pcpacanada.ca/negotiation/20979", "Darzalex  (daratumumab)")</f>
        <v>Darzalex  (daratumumab)</v>
      </c>
      <c r="B339" t="s">
        <v>665</v>
      </c>
      <c r="C339" t="s">
        <v>2893</v>
      </c>
      <c r="D339" t="s">
        <v>663</v>
      </c>
      <c r="E339" t="s">
        <v>3511</v>
      </c>
      <c r="F339" t="s">
        <v>665</v>
      </c>
      <c r="G339" t="s">
        <v>3512</v>
      </c>
      <c r="H339" s="3">
        <v>43168</v>
      </c>
      <c r="I339" s="3">
        <v>43418</v>
      </c>
    </row>
    <row r="340" spans="1:9" x14ac:dyDescent="0.3">
      <c r="A340" s="2" t="str">
        <f>HYPERLINK("https://www.pcpacanada.ca/negotiation/20978", "Lixiana  (edoxaban)")</f>
        <v>Lixiana  (edoxaban)</v>
      </c>
      <c r="B340" t="s">
        <v>372</v>
      </c>
      <c r="C340" t="s">
        <v>2893</v>
      </c>
      <c r="D340" t="s">
        <v>3513</v>
      </c>
      <c r="E340" t="s">
        <v>3514</v>
      </c>
      <c r="F340" t="s">
        <v>372</v>
      </c>
      <c r="G340" t="s">
        <v>3515</v>
      </c>
      <c r="H340" s="3">
        <v>43301</v>
      </c>
      <c r="I340" s="3">
        <v>43501</v>
      </c>
    </row>
    <row r="341" spans="1:9" x14ac:dyDescent="0.3">
      <c r="A341" s="2" t="str">
        <f>HYPERLINK("https://www.pcpacanada.ca/negotiation/20977", "Odefsey  (emtricitabine/rilpivirine/tenofovir alafenamide)")</f>
        <v>Odefsey  (emtricitabine/rilpivirine/tenofovir alafenamide)</v>
      </c>
      <c r="B341" t="s">
        <v>539</v>
      </c>
      <c r="C341" t="s">
        <v>2893</v>
      </c>
      <c r="D341" t="s">
        <v>273</v>
      </c>
      <c r="E341" t="s">
        <v>3516</v>
      </c>
      <c r="F341" t="s">
        <v>539</v>
      </c>
      <c r="G341" t="s">
        <v>1672</v>
      </c>
      <c r="H341" s="3">
        <v>42951</v>
      </c>
      <c r="I341" s="3">
        <v>43257</v>
      </c>
    </row>
    <row r="342" spans="1:9" x14ac:dyDescent="0.3">
      <c r="A342" s="2" t="str">
        <f>HYPERLINK("https://www.pcpacanada.ca/negotiation/20976", "Lancora  (ivabradine)")</f>
        <v>Lancora  (ivabradine)</v>
      </c>
      <c r="B342" t="s">
        <v>372</v>
      </c>
      <c r="C342" t="s">
        <v>2893</v>
      </c>
      <c r="D342" t="s">
        <v>806</v>
      </c>
      <c r="E342" t="s">
        <v>3517</v>
      </c>
      <c r="F342" t="s">
        <v>372</v>
      </c>
      <c r="G342" t="s">
        <v>1386</v>
      </c>
      <c r="H342" s="3">
        <v>43077</v>
      </c>
      <c r="I342" s="3">
        <v>43334</v>
      </c>
    </row>
    <row r="343" spans="1:9" x14ac:dyDescent="0.3">
      <c r="A343" s="2" t="str">
        <f>HYPERLINK("https://www.pcpacanada.ca/negotiation/20975", "Fibristal  (ulipristal acetate)")</f>
        <v>Fibristal  (ulipristal acetate)</v>
      </c>
      <c r="B343" t="s">
        <v>434</v>
      </c>
      <c r="C343" t="s">
        <v>3082</v>
      </c>
      <c r="D343" t="s">
        <v>3518</v>
      </c>
      <c r="E343" t="s">
        <v>3519</v>
      </c>
      <c r="F343" t="s">
        <v>434</v>
      </c>
      <c r="G343" t="s">
        <v>2880</v>
      </c>
      <c r="H343" s="3">
        <v>43003</v>
      </c>
      <c r="I343" s="3">
        <v>43371</v>
      </c>
    </row>
    <row r="344" spans="1:9" x14ac:dyDescent="0.3">
      <c r="A344" s="2" t="str">
        <f>HYPERLINK("https://www.pcpacanada.ca/negotiation/20974", "Mictoryl  (propiverine hydrochloride)")</f>
        <v>Mictoryl  (propiverine hydrochloride)</v>
      </c>
      <c r="B344" t="s">
        <v>1548</v>
      </c>
      <c r="C344" t="s">
        <v>3082</v>
      </c>
      <c r="D344" t="s">
        <v>975</v>
      </c>
      <c r="E344" t="s">
        <v>3520</v>
      </c>
      <c r="F344" t="s">
        <v>1548</v>
      </c>
      <c r="G344" t="s">
        <v>1547</v>
      </c>
      <c r="H344" s="3">
        <v>42977</v>
      </c>
      <c r="I344" s="3">
        <v>43143</v>
      </c>
    </row>
    <row r="345" spans="1:9" x14ac:dyDescent="0.3">
      <c r="A345" s="2" t="str">
        <f>HYPERLINK("https://www.pcpacanada.ca/negotiation/20973", "Kevzara  (sarilumab)")</f>
        <v>Kevzara  (sarilumab)</v>
      </c>
      <c r="B345" t="s">
        <v>152</v>
      </c>
      <c r="C345" t="s">
        <v>3082</v>
      </c>
      <c r="D345" t="s">
        <v>3142</v>
      </c>
      <c r="E345" t="s">
        <v>3521</v>
      </c>
      <c r="F345" t="s">
        <v>152</v>
      </c>
      <c r="G345" t="s">
        <v>1290</v>
      </c>
      <c r="H345" s="3">
        <v>42944</v>
      </c>
      <c r="I345" s="3">
        <v>43034</v>
      </c>
    </row>
    <row r="346" spans="1:9" x14ac:dyDescent="0.3">
      <c r="A346" s="2" t="str">
        <f>HYPERLINK("https://www.pcpacanada.ca/negotiation/20972", "Blincyto  (blinatumomab)")</f>
        <v>Blincyto  (blinatumomab)</v>
      </c>
      <c r="B346" t="s">
        <v>407</v>
      </c>
      <c r="C346" t="s">
        <v>2893</v>
      </c>
      <c r="D346" t="s">
        <v>403</v>
      </c>
      <c r="E346" t="s">
        <v>3522</v>
      </c>
      <c r="F346" t="s">
        <v>407</v>
      </c>
      <c r="G346" t="s">
        <v>3523</v>
      </c>
      <c r="H346" s="3">
        <v>43098</v>
      </c>
      <c r="I346" s="3">
        <v>43480</v>
      </c>
    </row>
    <row r="347" spans="1:9" x14ac:dyDescent="0.3">
      <c r="A347" s="2" t="str">
        <f>HYPERLINK("https://www.pcpacanada.ca/negotiation/20971", "Actikerall  (fluorouracil/salicylic acid)")</f>
        <v>Actikerall  (fluorouracil/salicylic acid)</v>
      </c>
      <c r="B347" t="s">
        <v>3524</v>
      </c>
      <c r="C347" t="s">
        <v>2893</v>
      </c>
      <c r="D347" t="s">
        <v>89</v>
      </c>
      <c r="E347" t="s">
        <v>3525</v>
      </c>
      <c r="F347" t="s">
        <v>3524</v>
      </c>
      <c r="G347" t="s">
        <v>3526</v>
      </c>
      <c r="H347" s="3">
        <v>43154</v>
      </c>
      <c r="I347" s="3">
        <v>43334</v>
      </c>
    </row>
    <row r="348" spans="1:9" x14ac:dyDescent="0.3">
      <c r="A348" s="2" t="str">
        <f>HYPERLINK("https://www.pcpacanada.ca/negotiation/20970", "Stelara  (ustekinumab)")</f>
        <v>Stelara  (ustekinumab)</v>
      </c>
      <c r="B348" t="s">
        <v>665</v>
      </c>
      <c r="C348" t="s">
        <v>3082</v>
      </c>
      <c r="D348" t="s">
        <v>816</v>
      </c>
      <c r="E348" t="s">
        <v>3527</v>
      </c>
      <c r="F348" t="s">
        <v>665</v>
      </c>
      <c r="G348" t="s">
        <v>2192</v>
      </c>
      <c r="H348" s="3">
        <v>43140</v>
      </c>
      <c r="I348" s="3">
        <v>43553</v>
      </c>
    </row>
    <row r="349" spans="1:9" x14ac:dyDescent="0.3">
      <c r="A349" s="2" t="str">
        <f>HYPERLINK("https://www.pcpacanada.ca/negotiation/20969", "Lixiana  (edoxaban)")</f>
        <v>Lixiana  (edoxaban)</v>
      </c>
      <c r="B349" t="s">
        <v>372</v>
      </c>
      <c r="C349" t="s">
        <v>2893</v>
      </c>
      <c r="D349" t="s">
        <v>3528</v>
      </c>
      <c r="E349" t="s">
        <v>3529</v>
      </c>
      <c r="F349" t="s">
        <v>372</v>
      </c>
      <c r="G349" t="s">
        <v>3530</v>
      </c>
      <c r="H349" s="3">
        <v>43301</v>
      </c>
      <c r="I349" s="3">
        <v>43501</v>
      </c>
    </row>
    <row r="350" spans="1:9" x14ac:dyDescent="0.3">
      <c r="A350" s="2" t="str">
        <f>HYPERLINK("https://www.pcpacanada.ca/negotiation/20968", "Blincyto  (blinatumomab)")</f>
        <v>Blincyto  (blinatumomab)</v>
      </c>
      <c r="B350" t="s">
        <v>407</v>
      </c>
      <c r="C350" t="s">
        <v>2893</v>
      </c>
      <c r="D350" t="s">
        <v>3531</v>
      </c>
      <c r="E350" t="s">
        <v>3532</v>
      </c>
      <c r="F350" t="s">
        <v>407</v>
      </c>
      <c r="G350" t="s">
        <v>3533</v>
      </c>
      <c r="H350" s="3">
        <v>43098</v>
      </c>
      <c r="I350" s="3">
        <v>43480</v>
      </c>
    </row>
    <row r="351" spans="1:9" x14ac:dyDescent="0.3">
      <c r="A351" s="2" t="str">
        <f>HYPERLINK("https://www.pcpacanada.ca/negotiation/20967", "Ravicti  (glycerol phenylbutyrate)")</f>
        <v>Ravicti  (glycerol phenylbutyrate)</v>
      </c>
      <c r="B351" t="s">
        <v>3458</v>
      </c>
      <c r="C351" t="s">
        <v>2893</v>
      </c>
      <c r="D351" t="s">
        <v>1859</v>
      </c>
      <c r="E351" t="s">
        <v>3534</v>
      </c>
      <c r="F351" t="s">
        <v>3458</v>
      </c>
      <c r="G351" t="s">
        <v>1966</v>
      </c>
      <c r="H351" s="3">
        <v>42846</v>
      </c>
      <c r="I351" s="3">
        <v>43081</v>
      </c>
    </row>
    <row r="352" spans="1:9" x14ac:dyDescent="0.3">
      <c r="A352" s="2" t="str">
        <f>HYPERLINK("https://www.pcpacanada.ca/negotiation/20966", "Hemangiol  (propranolol oral solution)")</f>
        <v>Hemangiol  (propranolol oral solution)</v>
      </c>
      <c r="B352" t="s">
        <v>3535</v>
      </c>
      <c r="C352" t="s">
        <v>2893</v>
      </c>
      <c r="D352" t="s">
        <v>1025</v>
      </c>
      <c r="E352" t="s">
        <v>3536</v>
      </c>
      <c r="F352" t="s">
        <v>3535</v>
      </c>
      <c r="G352" t="s">
        <v>1029</v>
      </c>
      <c r="H352" s="3">
        <v>42951</v>
      </c>
      <c r="I352" s="3">
        <v>43297</v>
      </c>
    </row>
    <row r="353" spans="1:9" x14ac:dyDescent="0.3">
      <c r="A353" s="2" t="str">
        <f>HYPERLINK("https://www.pcpacanada.ca/negotiation/20965", "Brivlera  (brivaracetam)")</f>
        <v>Brivlera  (brivaracetam)</v>
      </c>
      <c r="B353" t="s">
        <v>481</v>
      </c>
      <c r="C353" t="s">
        <v>2893</v>
      </c>
      <c r="D353" t="s">
        <v>269</v>
      </c>
      <c r="E353" t="s">
        <v>3537</v>
      </c>
      <c r="F353" t="s">
        <v>481</v>
      </c>
      <c r="G353" t="s">
        <v>480</v>
      </c>
      <c r="H353" s="3">
        <v>42884</v>
      </c>
      <c r="I353" s="3">
        <v>43395</v>
      </c>
    </row>
    <row r="354" spans="1:9" x14ac:dyDescent="0.3">
      <c r="A354" s="2" t="str">
        <f>HYPERLINK("https://www.pcpacanada.ca/negotiation/20964", "Ibrance  (palbociclib)")</f>
        <v>Ibrance  (palbociclib)</v>
      </c>
      <c r="B354" t="s">
        <v>445</v>
      </c>
      <c r="C354" t="s">
        <v>2893</v>
      </c>
      <c r="D354" t="s">
        <v>174</v>
      </c>
      <c r="E354" t="s">
        <v>3538</v>
      </c>
      <c r="F354" t="s">
        <v>445</v>
      </c>
      <c r="G354" t="s">
        <v>3539</v>
      </c>
      <c r="H354" s="3">
        <v>42870</v>
      </c>
      <c r="I354" s="3">
        <v>43090</v>
      </c>
    </row>
    <row r="355" spans="1:9" x14ac:dyDescent="0.3">
      <c r="A355" s="2" t="str">
        <f>HYPERLINK("https://www.pcpacanada.ca/negotiation/20963", "Quinsair  (levofloxacin)")</f>
        <v>Quinsair  (levofloxacin)</v>
      </c>
      <c r="B355" t="s">
        <v>1947</v>
      </c>
      <c r="C355" t="s">
        <v>2893</v>
      </c>
      <c r="D355" t="s">
        <v>1945</v>
      </c>
      <c r="E355" t="s">
        <v>3540</v>
      </c>
      <c r="F355" t="s">
        <v>1947</v>
      </c>
      <c r="G355" t="s">
        <v>1946</v>
      </c>
      <c r="H355" s="3">
        <v>42884</v>
      </c>
      <c r="I355" s="3">
        <v>43384</v>
      </c>
    </row>
    <row r="356" spans="1:9" x14ac:dyDescent="0.3">
      <c r="A356" s="2" t="str">
        <f>HYPERLINK("https://www.pcpacanada.ca/negotiation/20962", "Rituxan  (rituximab)")</f>
        <v>Rituxan  (rituximab)</v>
      </c>
      <c r="B356" t="s">
        <v>3068</v>
      </c>
      <c r="C356" t="s">
        <v>2908</v>
      </c>
      <c r="D356" t="s">
        <v>403</v>
      </c>
      <c r="E356" t="s">
        <v>3541</v>
      </c>
      <c r="F356" t="s">
        <v>3068</v>
      </c>
      <c r="G356" t="s">
        <v>3542</v>
      </c>
      <c r="H356" s="3" t="s">
        <v>2880</v>
      </c>
      <c r="I356" s="3">
        <v>43077</v>
      </c>
    </row>
    <row r="357" spans="1:9" x14ac:dyDescent="0.3">
      <c r="A357" s="2" t="str">
        <f>HYPERLINK("https://www.pcpacanada.ca/negotiation/20961", "Kyprolis  (carfilzomib)")</f>
        <v>Kyprolis  (carfilzomib)</v>
      </c>
      <c r="B357" t="s">
        <v>407</v>
      </c>
      <c r="C357" t="s">
        <v>2893</v>
      </c>
      <c r="D357" t="s">
        <v>663</v>
      </c>
      <c r="E357" t="s">
        <v>3543</v>
      </c>
      <c r="F357" t="s">
        <v>407</v>
      </c>
      <c r="G357" t="s">
        <v>3544</v>
      </c>
      <c r="H357" s="3">
        <v>42888</v>
      </c>
      <c r="I357" s="3">
        <v>43077</v>
      </c>
    </row>
    <row r="358" spans="1:9" x14ac:dyDescent="0.3">
      <c r="A358" s="2" t="str">
        <f>HYPERLINK("https://www.pcpacanada.ca/negotiation/20960", "Uptravi  (selexipag)")</f>
        <v>Uptravi  (selexipag)</v>
      </c>
      <c r="B358" t="s">
        <v>3265</v>
      </c>
      <c r="C358" t="s">
        <v>2893</v>
      </c>
      <c r="D358" t="s">
        <v>3266</v>
      </c>
      <c r="E358" t="s">
        <v>3545</v>
      </c>
      <c r="F358" t="s">
        <v>3265</v>
      </c>
      <c r="G358" t="s">
        <v>2525</v>
      </c>
      <c r="H358" s="3">
        <v>42838</v>
      </c>
      <c r="I358" s="3">
        <v>43081</v>
      </c>
    </row>
    <row r="359" spans="1:9" x14ac:dyDescent="0.3">
      <c r="A359" s="2" t="str">
        <f>HYPERLINK("https://www.pcpacanada.ca/negotiation/20959", "Synjardy  (empagliflozin/metformin)")</f>
        <v>Synjardy  (empagliflozin/metformin)</v>
      </c>
      <c r="B359" t="s">
        <v>2992</v>
      </c>
      <c r="C359" t="s">
        <v>2893</v>
      </c>
      <c r="D359" t="s">
        <v>1192</v>
      </c>
      <c r="E359" t="s">
        <v>3546</v>
      </c>
      <c r="F359" t="s">
        <v>2992</v>
      </c>
      <c r="G359" t="s">
        <v>2880</v>
      </c>
      <c r="H359" s="3">
        <v>43354</v>
      </c>
      <c r="I359" s="3">
        <v>43354</v>
      </c>
    </row>
    <row r="360" spans="1:9" x14ac:dyDescent="0.3">
      <c r="A360" s="2" t="str">
        <f>HYPERLINK("https://www.pcpacanada.ca/negotiation/20958", "Taltz  (ixekizumab)")</f>
        <v>Taltz  (ixekizumab)</v>
      </c>
      <c r="B360" t="s">
        <v>133</v>
      </c>
      <c r="C360" t="s">
        <v>2893</v>
      </c>
      <c r="D360" t="s">
        <v>558</v>
      </c>
      <c r="E360" t="s">
        <v>3547</v>
      </c>
      <c r="F360" t="s">
        <v>133</v>
      </c>
      <c r="G360" t="s">
        <v>2880</v>
      </c>
      <c r="H360" s="3">
        <v>42860</v>
      </c>
      <c r="I360" s="3">
        <v>43098</v>
      </c>
    </row>
    <row r="361" spans="1:9" x14ac:dyDescent="0.3">
      <c r="A361" s="2" t="str">
        <f>HYPERLINK("https://www.pcpacanada.ca/negotiation/20957", "Kuvan  (sapropterin dihydrochloride)")</f>
        <v>Kuvan  (sapropterin dihydrochloride)</v>
      </c>
      <c r="B361" t="s">
        <v>3297</v>
      </c>
      <c r="C361" t="s">
        <v>2893</v>
      </c>
      <c r="D361" t="s">
        <v>1366</v>
      </c>
      <c r="E361" t="s">
        <v>3548</v>
      </c>
      <c r="F361" t="s">
        <v>3297</v>
      </c>
      <c r="G361" t="s">
        <v>1364</v>
      </c>
      <c r="H361" s="3">
        <v>42860</v>
      </c>
      <c r="I361" s="3">
        <v>43874</v>
      </c>
    </row>
    <row r="362" spans="1:9" x14ac:dyDescent="0.3">
      <c r="A362" s="2" t="str">
        <f>HYPERLINK("https://www.pcpacanada.ca/negotiation/20956", "Jardiance  (empagliflozin)")</f>
        <v>Jardiance  (empagliflozin)</v>
      </c>
      <c r="B362" t="s">
        <v>2992</v>
      </c>
      <c r="C362" t="s">
        <v>2893</v>
      </c>
      <c r="D362" t="s">
        <v>3549</v>
      </c>
      <c r="E362" t="s">
        <v>3550</v>
      </c>
      <c r="F362" t="s">
        <v>2992</v>
      </c>
      <c r="G362" t="s">
        <v>1231</v>
      </c>
      <c r="H362" s="3">
        <v>42601</v>
      </c>
      <c r="I362" s="3">
        <v>43354</v>
      </c>
    </row>
    <row r="363" spans="1:9" x14ac:dyDescent="0.3">
      <c r="A363" s="2" t="str">
        <f>HYPERLINK("https://www.pcpacanada.ca/negotiation/20955", "Invokamet  (canagliflozin/metformin hydrochloride)")</f>
        <v>Invokamet  (canagliflozin/metformin hydrochloride)</v>
      </c>
      <c r="B363" t="s">
        <v>665</v>
      </c>
      <c r="C363" t="s">
        <v>3082</v>
      </c>
      <c r="D363" t="s">
        <v>1192</v>
      </c>
      <c r="E363" t="s">
        <v>3551</v>
      </c>
      <c r="F363" t="s">
        <v>665</v>
      </c>
      <c r="G363" t="s">
        <v>1190</v>
      </c>
      <c r="H363" s="3">
        <v>42860</v>
      </c>
      <c r="I363" s="3">
        <v>43028</v>
      </c>
    </row>
    <row r="364" spans="1:9" x14ac:dyDescent="0.3">
      <c r="A364" s="2" t="str">
        <f>HYPERLINK("https://www.pcpacanada.ca/negotiation/20954", "Brilinta  (ticagrelor)")</f>
        <v>Brilinta  (ticagrelor)</v>
      </c>
      <c r="B364" t="s">
        <v>465</v>
      </c>
      <c r="C364" t="s">
        <v>3082</v>
      </c>
      <c r="D364" t="s">
        <v>473</v>
      </c>
      <c r="E364" t="s">
        <v>3552</v>
      </c>
      <c r="F364" t="s">
        <v>465</v>
      </c>
      <c r="G364" t="s">
        <v>474</v>
      </c>
      <c r="H364" s="3">
        <v>42951</v>
      </c>
      <c r="I364" s="3">
        <v>43069</v>
      </c>
    </row>
    <row r="365" spans="1:9" x14ac:dyDescent="0.3">
      <c r="A365" s="2" t="str">
        <f>HYPERLINK("https://www.pcpacanada.ca/negotiation/20953", "Descovy  (emtricitabine/tenofovir alafenamide)")</f>
        <v>Descovy  (emtricitabine/tenofovir alafenamide)</v>
      </c>
      <c r="B365" t="s">
        <v>539</v>
      </c>
      <c r="C365" t="s">
        <v>3082</v>
      </c>
      <c r="D365" t="s">
        <v>273</v>
      </c>
      <c r="E365" t="s">
        <v>3553</v>
      </c>
      <c r="F365" t="s">
        <v>539</v>
      </c>
      <c r="G365" t="s">
        <v>700</v>
      </c>
      <c r="H365" s="3">
        <v>42951</v>
      </c>
      <c r="I365" s="3">
        <v>43259</v>
      </c>
    </row>
    <row r="366" spans="1:9" x14ac:dyDescent="0.3">
      <c r="A366" s="2" t="str">
        <f>HYPERLINK("https://www.pcpacanada.ca/negotiation/20952", "Cosentyx  (secukinumab)")</f>
        <v>Cosentyx  (secukinumab)</v>
      </c>
      <c r="B366" t="s">
        <v>71</v>
      </c>
      <c r="C366" t="s">
        <v>2893</v>
      </c>
      <c r="D366" t="s">
        <v>551</v>
      </c>
      <c r="E366" t="s">
        <v>3554</v>
      </c>
      <c r="F366" t="s">
        <v>71</v>
      </c>
      <c r="G366" t="s">
        <v>610</v>
      </c>
      <c r="H366" s="3">
        <v>42838</v>
      </c>
      <c r="I366" s="3">
        <v>43088</v>
      </c>
    </row>
    <row r="367" spans="1:9" x14ac:dyDescent="0.3">
      <c r="A367" s="2" t="str">
        <f>HYPERLINK("https://www.pcpacanada.ca/negotiation/20951", "Cosentyx  (secukinumab)")</f>
        <v>Cosentyx  (secukinumab)</v>
      </c>
      <c r="B367" t="s">
        <v>71</v>
      </c>
      <c r="C367" t="s">
        <v>2893</v>
      </c>
      <c r="D367" t="s">
        <v>2902</v>
      </c>
      <c r="E367" t="s">
        <v>3555</v>
      </c>
      <c r="F367" t="s">
        <v>71</v>
      </c>
      <c r="G367" t="s">
        <v>611</v>
      </c>
      <c r="H367" s="3">
        <v>42838</v>
      </c>
      <c r="I367" s="3">
        <v>43088</v>
      </c>
    </row>
    <row r="368" spans="1:9" x14ac:dyDescent="0.3">
      <c r="A368" s="2" t="str">
        <f>HYPERLINK("https://www.pcpacanada.ca/negotiation/20950", "Revestive  (teduglutide)")</f>
        <v>Revestive  (teduglutide)</v>
      </c>
      <c r="B368" t="s">
        <v>2280</v>
      </c>
      <c r="C368" t="s">
        <v>2893</v>
      </c>
      <c r="D368" t="s">
        <v>3173</v>
      </c>
      <c r="E368" t="s">
        <v>3556</v>
      </c>
      <c r="F368" t="s">
        <v>2280</v>
      </c>
      <c r="G368" t="s">
        <v>2026</v>
      </c>
      <c r="H368" s="3">
        <v>42916</v>
      </c>
      <c r="I368" s="3">
        <v>43319</v>
      </c>
    </row>
    <row r="369" spans="1:9" x14ac:dyDescent="0.3">
      <c r="A369" s="2" t="str">
        <f>HYPERLINK("https://www.pcpacanada.ca/negotiation/20949", "Praluent  (alirocumab)")</f>
        <v>Praluent  (alirocumab)</v>
      </c>
      <c r="B369" t="s">
        <v>152</v>
      </c>
      <c r="C369" t="s">
        <v>2893</v>
      </c>
      <c r="D369" t="s">
        <v>3557</v>
      </c>
      <c r="E369" t="s">
        <v>3558</v>
      </c>
      <c r="F369" t="s">
        <v>152</v>
      </c>
      <c r="G369" t="s">
        <v>1898</v>
      </c>
      <c r="H369" s="3">
        <v>42608</v>
      </c>
      <c r="I369" s="3">
        <v>43314</v>
      </c>
    </row>
    <row r="370" spans="1:9" x14ac:dyDescent="0.3">
      <c r="A370" s="2" t="str">
        <f>HYPERLINK("https://www.pcpacanada.ca/negotiation/20948", "Kyprolis  (carfilzomib)")</f>
        <v>Kyprolis  (carfilzomib)</v>
      </c>
      <c r="B370" t="s">
        <v>407</v>
      </c>
      <c r="C370" t="s">
        <v>2893</v>
      </c>
      <c r="D370" t="s">
        <v>663</v>
      </c>
      <c r="E370" t="s">
        <v>3559</v>
      </c>
      <c r="F370" t="s">
        <v>407</v>
      </c>
      <c r="G370" t="s">
        <v>3560</v>
      </c>
      <c r="H370" s="3">
        <v>42657</v>
      </c>
      <c r="I370" s="3">
        <v>43077</v>
      </c>
    </row>
    <row r="371" spans="1:9" x14ac:dyDescent="0.3">
      <c r="A371" s="2" t="str">
        <f>HYPERLINK("https://www.pcpacanada.ca/negotiation/20947", "Trulicity  (dulaglutide)")</f>
        <v>Trulicity  (dulaglutide)</v>
      </c>
      <c r="B371" t="s">
        <v>133</v>
      </c>
      <c r="C371" t="s">
        <v>3082</v>
      </c>
      <c r="D371" t="s">
        <v>1192</v>
      </c>
      <c r="E371" t="s">
        <v>3561</v>
      </c>
      <c r="F371" t="s">
        <v>133</v>
      </c>
      <c r="G371" t="s">
        <v>2479</v>
      </c>
      <c r="H371" s="3">
        <v>42923</v>
      </c>
      <c r="I371" s="3">
        <v>43735</v>
      </c>
    </row>
    <row r="372" spans="1:9" x14ac:dyDescent="0.3">
      <c r="A372" s="2" t="str">
        <f>HYPERLINK("https://www.pcpacanada.ca/negotiation/20946", "Nucala  (mepolizumab)")</f>
        <v>Nucala  (mepolizumab)</v>
      </c>
      <c r="B372" t="s">
        <v>455</v>
      </c>
      <c r="C372" t="s">
        <v>2893</v>
      </c>
      <c r="D372" t="s">
        <v>3562</v>
      </c>
      <c r="E372" t="s">
        <v>3563</v>
      </c>
      <c r="F372" t="s">
        <v>455</v>
      </c>
      <c r="G372" t="s">
        <v>1649</v>
      </c>
      <c r="H372" s="3">
        <v>42664</v>
      </c>
      <c r="I372" s="3">
        <v>43063</v>
      </c>
    </row>
    <row r="373" spans="1:9" x14ac:dyDescent="0.3">
      <c r="A373" s="2" t="str">
        <f>HYPERLINK("https://www.pcpacanada.ca/negotiation/20945", "Vimizim  (elosulfase alfa)")</f>
        <v>Vimizim  (elosulfase alfa)</v>
      </c>
      <c r="B373" t="s">
        <v>3297</v>
      </c>
      <c r="C373" t="s">
        <v>2893</v>
      </c>
      <c r="D373" t="s">
        <v>2607</v>
      </c>
      <c r="E373" t="s">
        <v>3564</v>
      </c>
      <c r="F373" t="s">
        <v>3297</v>
      </c>
      <c r="G373" t="s">
        <v>2608</v>
      </c>
      <c r="H373" s="3">
        <v>42671</v>
      </c>
      <c r="I373" s="3">
        <v>43433</v>
      </c>
    </row>
    <row r="374" spans="1:9" x14ac:dyDescent="0.3">
      <c r="A374" s="2" t="str">
        <f>HYPERLINK("https://www.pcpacanada.ca/negotiation/20944", "Xolair  (omalizumab)")</f>
        <v>Xolair  (omalizumab)</v>
      </c>
      <c r="B374" t="s">
        <v>71</v>
      </c>
      <c r="C374" t="s">
        <v>3082</v>
      </c>
      <c r="D374" t="s">
        <v>3565</v>
      </c>
      <c r="E374" t="s">
        <v>3566</v>
      </c>
      <c r="F374" t="s">
        <v>71</v>
      </c>
      <c r="G374" t="s">
        <v>2740</v>
      </c>
      <c r="H374" s="3">
        <v>42664</v>
      </c>
      <c r="I374" s="3">
        <v>43641</v>
      </c>
    </row>
    <row r="375" spans="1:9" x14ac:dyDescent="0.3">
      <c r="A375" s="2" t="str">
        <f>HYPERLINK("https://www.pcpacanada.ca/negotiation/20943", "Fycompa  (perampanel)")</f>
        <v>Fycompa  (perampanel)</v>
      </c>
      <c r="B375" t="s">
        <v>224</v>
      </c>
      <c r="C375" t="s">
        <v>2893</v>
      </c>
      <c r="D375" t="s">
        <v>955</v>
      </c>
      <c r="E375" t="s">
        <v>3567</v>
      </c>
      <c r="F375" t="s">
        <v>224</v>
      </c>
      <c r="G375" t="s">
        <v>956</v>
      </c>
      <c r="H375" s="3">
        <v>42597</v>
      </c>
      <c r="I375" s="3">
        <v>43648</v>
      </c>
    </row>
    <row r="376" spans="1:9" x14ac:dyDescent="0.3">
      <c r="A376" s="2" t="str">
        <f>HYPERLINK("https://www.pcpacanada.ca/negotiation/20942", "Pheburane  (sodium phenylbutyrate)")</f>
        <v>Pheburane  (sodium phenylbutyrate)</v>
      </c>
      <c r="B376" t="s">
        <v>3568</v>
      </c>
      <c r="C376" t="s">
        <v>2893</v>
      </c>
      <c r="D376" t="s">
        <v>1859</v>
      </c>
      <c r="E376" t="s">
        <v>3569</v>
      </c>
      <c r="F376" t="s">
        <v>3568</v>
      </c>
      <c r="G376" t="s">
        <v>1860</v>
      </c>
      <c r="H376" s="3">
        <v>42846</v>
      </c>
      <c r="I376" s="3">
        <v>43059</v>
      </c>
    </row>
    <row r="377" spans="1:9" x14ac:dyDescent="0.3">
      <c r="A377" s="2" t="str">
        <f>HYPERLINK("https://www.pcpacanada.ca/negotiation/20941", "Naglazyme  (galsulfase)")</f>
        <v>Naglazyme  (galsulfase)</v>
      </c>
      <c r="B377" t="s">
        <v>3297</v>
      </c>
      <c r="C377" t="s">
        <v>2908</v>
      </c>
      <c r="D377" t="s">
        <v>3570</v>
      </c>
      <c r="E377" t="s">
        <v>3571</v>
      </c>
      <c r="F377" t="s">
        <v>3297</v>
      </c>
      <c r="G377" t="s">
        <v>1597</v>
      </c>
      <c r="H377" s="3">
        <v>42766</v>
      </c>
      <c r="I377" s="3">
        <v>42766</v>
      </c>
    </row>
    <row r="378" spans="1:9" x14ac:dyDescent="0.3">
      <c r="A378" s="2" t="str">
        <f>HYPERLINK("https://www.pcpacanada.ca/negotiation/20940", "Repatha  (evolocumab)")</f>
        <v>Repatha  (evolocumab)</v>
      </c>
      <c r="B378" t="s">
        <v>407</v>
      </c>
      <c r="C378" t="s">
        <v>2893</v>
      </c>
      <c r="D378" t="s">
        <v>2001</v>
      </c>
      <c r="E378" t="s">
        <v>3572</v>
      </c>
      <c r="F378" t="s">
        <v>407</v>
      </c>
      <c r="G378" t="s">
        <v>2000</v>
      </c>
      <c r="H378" s="3">
        <v>42608</v>
      </c>
      <c r="I378" s="3">
        <v>43031</v>
      </c>
    </row>
    <row r="379" spans="1:9" x14ac:dyDescent="0.3">
      <c r="A379" s="2" t="str">
        <f>HYPERLINK("https://www.pcpacanada.ca/negotiation/20939", "Prolia  (denosumab)")</f>
        <v>Prolia  (denosumab)</v>
      </c>
      <c r="B379" t="s">
        <v>407</v>
      </c>
      <c r="C379" t="s">
        <v>2893</v>
      </c>
      <c r="D379" t="s">
        <v>3573</v>
      </c>
      <c r="E379" t="s">
        <v>3574</v>
      </c>
      <c r="F379" t="s">
        <v>407</v>
      </c>
      <c r="G379" t="s">
        <v>1938</v>
      </c>
      <c r="H379" s="3">
        <v>42347</v>
      </c>
      <c r="I379" s="3">
        <v>43025</v>
      </c>
    </row>
    <row r="380" spans="1:9" x14ac:dyDescent="0.3">
      <c r="A380" s="2" t="str">
        <f>HYPERLINK("https://www.pcpacanada.ca/negotiation/20938", "Kalydeco  (ivacaftor)")</f>
        <v>Kalydeco  (ivacaftor)</v>
      </c>
      <c r="B380" t="s">
        <v>1279</v>
      </c>
      <c r="C380" t="s">
        <v>3082</v>
      </c>
      <c r="D380" t="s">
        <v>3575</v>
      </c>
      <c r="E380" t="s">
        <v>3576</v>
      </c>
      <c r="F380" t="s">
        <v>1279</v>
      </c>
      <c r="G380" t="s">
        <v>1272</v>
      </c>
      <c r="H380" s="3">
        <v>42031</v>
      </c>
      <c r="I380" s="3">
        <v>43032</v>
      </c>
    </row>
    <row r="381" spans="1:9" x14ac:dyDescent="0.3">
      <c r="A381" s="2" t="str">
        <f>HYPERLINK("https://www.pcpacanada.ca/negotiation/20937", "Truvada  (emtricitabine/tenofovir disoproxil fumarate)")</f>
        <v>Truvada  (emtricitabine/tenofovir disoproxil fumarate)</v>
      </c>
      <c r="B381" t="s">
        <v>539</v>
      </c>
      <c r="C381" t="s">
        <v>2908</v>
      </c>
      <c r="D381" t="s">
        <v>3577</v>
      </c>
      <c r="E381" t="s">
        <v>3578</v>
      </c>
      <c r="F381" t="s">
        <v>539</v>
      </c>
      <c r="G381" t="s">
        <v>2482</v>
      </c>
      <c r="H381" s="3" t="s">
        <v>2880</v>
      </c>
      <c r="I381" s="3">
        <v>42986</v>
      </c>
    </row>
    <row r="382" spans="1:9" x14ac:dyDescent="0.3">
      <c r="A382" s="2" t="str">
        <f>HYPERLINK("https://www.pcpacanada.ca/negotiation/20936", "Strensiq  (asfotase alfa)")</f>
        <v>Strensiq  (asfotase alfa)</v>
      </c>
      <c r="B382" t="s">
        <v>3056</v>
      </c>
      <c r="C382" t="s">
        <v>3082</v>
      </c>
      <c r="D382" t="s">
        <v>3480</v>
      </c>
      <c r="E382" t="s">
        <v>3579</v>
      </c>
      <c r="F382" t="s">
        <v>3056</v>
      </c>
      <c r="G382" t="s">
        <v>2880</v>
      </c>
      <c r="H382" s="3">
        <v>42551</v>
      </c>
      <c r="I382" s="3">
        <v>42775</v>
      </c>
    </row>
    <row r="383" spans="1:9" x14ac:dyDescent="0.3">
      <c r="A383" s="2" t="str">
        <f>HYPERLINK("https://www.pcpacanada.ca/negotiation/20935", "Tafinlar/Mekinist  (dabrafenib/trametinib)")</f>
        <v>Tafinlar/Mekinist  (dabrafenib/trametinib)</v>
      </c>
      <c r="B383" t="s">
        <v>71</v>
      </c>
      <c r="C383" t="s">
        <v>2908</v>
      </c>
      <c r="D383" t="s">
        <v>3580</v>
      </c>
      <c r="E383" t="s">
        <v>3581</v>
      </c>
      <c r="F383" t="s">
        <v>71</v>
      </c>
      <c r="G383" t="s">
        <v>2880</v>
      </c>
      <c r="H383" s="3" t="s">
        <v>2880</v>
      </c>
      <c r="I383" s="3">
        <v>43069</v>
      </c>
    </row>
    <row r="384" spans="1:9" x14ac:dyDescent="0.3">
      <c r="A384" s="2" t="str">
        <f>HYPERLINK("https://www.pcpacanada.ca/negotiation/20934", "Giotrif  (afatinib)")</f>
        <v>Giotrif  (afatinib)</v>
      </c>
      <c r="B384" t="s">
        <v>2992</v>
      </c>
      <c r="C384" t="s">
        <v>2893</v>
      </c>
      <c r="D384" t="s">
        <v>3582</v>
      </c>
      <c r="E384" t="s">
        <v>3583</v>
      </c>
      <c r="F384" t="s">
        <v>2992</v>
      </c>
      <c r="G384" t="s">
        <v>2880</v>
      </c>
      <c r="H384" s="3">
        <v>42923</v>
      </c>
      <c r="I384" s="3">
        <v>43062</v>
      </c>
    </row>
    <row r="385" spans="1:9" x14ac:dyDescent="0.3">
      <c r="A385" s="2" t="str">
        <f>HYPERLINK("https://www.pcpacanada.ca/negotiation/20933", "Opdivo  (nivolumab)")</f>
        <v>Opdivo  (nivolumab)</v>
      </c>
      <c r="B385" t="s">
        <v>658</v>
      </c>
      <c r="C385" t="s">
        <v>2893</v>
      </c>
      <c r="D385" t="s">
        <v>3584</v>
      </c>
      <c r="E385" t="s">
        <v>3585</v>
      </c>
      <c r="F385" t="s">
        <v>658</v>
      </c>
      <c r="G385" t="s">
        <v>3586</v>
      </c>
      <c r="H385" s="3">
        <v>43007</v>
      </c>
      <c r="I385" s="3">
        <v>43059</v>
      </c>
    </row>
    <row r="386" spans="1:9" x14ac:dyDescent="0.3">
      <c r="A386" s="2" t="str">
        <f>HYPERLINK("https://www.pcpacanada.ca/negotiation/20932", "Simponi IV  (golimumab)")</f>
        <v>Simponi IV  (golimumab)</v>
      </c>
      <c r="B386" t="s">
        <v>665</v>
      </c>
      <c r="C386" t="s">
        <v>3082</v>
      </c>
      <c r="D386" t="s">
        <v>3142</v>
      </c>
      <c r="E386" t="s">
        <v>3587</v>
      </c>
      <c r="F386" t="s">
        <v>665</v>
      </c>
      <c r="G386" t="s">
        <v>2880</v>
      </c>
      <c r="H386" s="3">
        <v>41918</v>
      </c>
      <c r="I386" s="3">
        <v>42479</v>
      </c>
    </row>
    <row r="387" spans="1:9" x14ac:dyDescent="0.3">
      <c r="A387" s="2" t="str">
        <f>HYPERLINK("https://www.pcpacanada.ca/negotiation/20931", "Stivarga  (regorafenib)")</f>
        <v>Stivarga  (regorafenib)</v>
      </c>
      <c r="B387" t="s">
        <v>146</v>
      </c>
      <c r="C387" t="s">
        <v>2893</v>
      </c>
      <c r="D387" t="s">
        <v>3588</v>
      </c>
      <c r="E387" t="s">
        <v>3589</v>
      </c>
      <c r="F387" t="s">
        <v>146</v>
      </c>
      <c r="G387" t="s">
        <v>2880</v>
      </c>
      <c r="H387" s="3">
        <v>42958</v>
      </c>
      <c r="I387" s="3">
        <v>43048</v>
      </c>
    </row>
    <row r="388" spans="1:9" x14ac:dyDescent="0.3">
      <c r="A388" s="2" t="str">
        <f>HYPERLINK("https://www.pcpacanada.ca/negotiation/20930", "Basaglar  (insulin glargine)")</f>
        <v>Basaglar  (insulin glargine)</v>
      </c>
      <c r="B388" t="s">
        <v>133</v>
      </c>
      <c r="C388" t="s">
        <v>2893</v>
      </c>
      <c r="D388" t="s">
        <v>2904</v>
      </c>
      <c r="E388" t="s">
        <v>3590</v>
      </c>
      <c r="F388" t="s">
        <v>133</v>
      </c>
      <c r="G388" t="s">
        <v>357</v>
      </c>
      <c r="H388" s="3">
        <v>42536</v>
      </c>
      <c r="I388" s="3">
        <v>42923</v>
      </c>
    </row>
    <row r="389" spans="1:9" x14ac:dyDescent="0.3">
      <c r="A389" s="2" t="str">
        <f>HYPERLINK("https://www.pcpacanada.ca/negotiation/20929", "Mifegymiso  (mifepristone and misoprostol)")</f>
        <v>Mifegymiso  (mifepristone and misoprostol)</v>
      </c>
      <c r="B389" t="s">
        <v>3591</v>
      </c>
      <c r="C389" t="s">
        <v>2893</v>
      </c>
      <c r="D389" t="s">
        <v>3592</v>
      </c>
      <c r="E389" t="s">
        <v>3593</v>
      </c>
      <c r="F389" t="s">
        <v>3591</v>
      </c>
      <c r="G389" t="s">
        <v>3594</v>
      </c>
      <c r="H389" s="3">
        <v>42846</v>
      </c>
      <c r="I389" s="3">
        <v>42921</v>
      </c>
    </row>
    <row r="390" spans="1:9" x14ac:dyDescent="0.3">
      <c r="A390" s="2" t="str">
        <f>HYPERLINK("https://www.pcpacanada.ca/negotiation/20928", "Keytruda  (pembrolizumab)")</f>
        <v>Keytruda  (pembrolizumab)</v>
      </c>
      <c r="B390" t="s">
        <v>289</v>
      </c>
      <c r="C390" t="s">
        <v>2893</v>
      </c>
      <c r="D390" t="s">
        <v>3257</v>
      </c>
      <c r="E390" t="s">
        <v>3595</v>
      </c>
      <c r="F390" t="s">
        <v>289</v>
      </c>
      <c r="G390" t="s">
        <v>3596</v>
      </c>
      <c r="H390" s="3">
        <v>42986</v>
      </c>
      <c r="I390" s="3">
        <v>43040</v>
      </c>
    </row>
    <row r="391" spans="1:9" x14ac:dyDescent="0.3">
      <c r="A391" s="2" t="str">
        <f>HYPERLINK("https://www.pcpacanada.ca/negotiation/20927", "Keytruda  (pembrolizumab)")</f>
        <v>Keytruda  (pembrolizumab)</v>
      </c>
      <c r="B391" t="s">
        <v>289</v>
      </c>
      <c r="C391" t="s">
        <v>2893</v>
      </c>
      <c r="D391" t="s">
        <v>3257</v>
      </c>
      <c r="E391" t="s">
        <v>3597</v>
      </c>
      <c r="F391" t="s">
        <v>289</v>
      </c>
      <c r="G391" t="s">
        <v>3598</v>
      </c>
      <c r="H391" s="3">
        <v>42765</v>
      </c>
      <c r="I391" s="3">
        <v>43040</v>
      </c>
    </row>
    <row r="392" spans="1:9" x14ac:dyDescent="0.3">
      <c r="A392" s="2" t="str">
        <f>HYPERLINK("https://www.pcpacanada.ca/negotiation/20926", "Neupro  (rotigotine)")</f>
        <v>Neupro  (rotigotine)</v>
      </c>
      <c r="B392" t="s">
        <v>481</v>
      </c>
      <c r="C392" t="s">
        <v>2893</v>
      </c>
      <c r="D392" t="s">
        <v>2989</v>
      </c>
      <c r="E392" t="s">
        <v>3599</v>
      </c>
      <c r="F392" t="s">
        <v>481</v>
      </c>
      <c r="G392" t="s">
        <v>1608</v>
      </c>
      <c r="H392" s="3">
        <v>42409</v>
      </c>
      <c r="I392" s="3">
        <v>42909</v>
      </c>
    </row>
    <row r="393" spans="1:9" x14ac:dyDescent="0.3">
      <c r="A393" s="2" t="str">
        <f>HYPERLINK("https://www.pcpacanada.ca/negotiation/20925", "Brenzys  (etanercept)")</f>
        <v>Brenzys  (etanercept)</v>
      </c>
      <c r="B393" t="s">
        <v>289</v>
      </c>
      <c r="C393" t="s">
        <v>2893</v>
      </c>
      <c r="D393" t="s">
        <v>3600</v>
      </c>
      <c r="E393" t="s">
        <v>3601</v>
      </c>
      <c r="F393" t="s">
        <v>289</v>
      </c>
      <c r="G393" t="s">
        <v>451</v>
      </c>
      <c r="H393" s="3">
        <v>42688</v>
      </c>
      <c r="I393" s="3">
        <v>42905</v>
      </c>
    </row>
    <row r="394" spans="1:9" x14ac:dyDescent="0.3">
      <c r="A394" s="2" t="str">
        <f>HYPERLINK("https://www.pcpacanada.ca/negotiation/20924", "Afinitor  (everolimus)")</f>
        <v>Afinitor  (everolimus)</v>
      </c>
      <c r="B394" t="s">
        <v>71</v>
      </c>
      <c r="C394" t="s">
        <v>2893</v>
      </c>
      <c r="D394" t="s">
        <v>3602</v>
      </c>
      <c r="E394" t="s">
        <v>3603</v>
      </c>
      <c r="F394" t="s">
        <v>71</v>
      </c>
      <c r="G394" t="s">
        <v>3604</v>
      </c>
      <c r="H394" s="3">
        <v>42825</v>
      </c>
      <c r="I394" s="3">
        <v>42979</v>
      </c>
    </row>
    <row r="395" spans="1:9" x14ac:dyDescent="0.3">
      <c r="A395" s="2" t="str">
        <f>HYPERLINK("https://www.pcpacanada.ca/negotiation/20923", "XigDuo  (dapagliflozin/metformin hydrochloride)")</f>
        <v>XigDuo  (dapagliflozin/metformin hydrochloride)</v>
      </c>
      <c r="B395" t="s">
        <v>465</v>
      </c>
      <c r="C395" t="s">
        <v>2893</v>
      </c>
      <c r="D395" t="s">
        <v>1192</v>
      </c>
      <c r="E395" t="s">
        <v>3605</v>
      </c>
      <c r="F395" t="s">
        <v>465</v>
      </c>
      <c r="G395" t="s">
        <v>2733</v>
      </c>
      <c r="H395" s="3">
        <v>42838</v>
      </c>
      <c r="I395" s="3">
        <v>42899</v>
      </c>
    </row>
    <row r="396" spans="1:9" x14ac:dyDescent="0.3">
      <c r="A396" s="2" t="str">
        <f>HYPERLINK("https://www.pcpacanada.ca/negotiation/20922", "Humira  (adalimumab)")</f>
        <v>Humira  (adalimumab)</v>
      </c>
      <c r="B396" t="s">
        <v>725</v>
      </c>
      <c r="C396" t="s">
        <v>2893</v>
      </c>
      <c r="D396" t="s">
        <v>599</v>
      </c>
      <c r="E396" t="s">
        <v>3606</v>
      </c>
      <c r="F396" t="s">
        <v>725</v>
      </c>
      <c r="G396" t="s">
        <v>1058</v>
      </c>
      <c r="H396" s="3">
        <v>42521</v>
      </c>
      <c r="I396" s="3">
        <v>42878</v>
      </c>
    </row>
    <row r="397" spans="1:9" x14ac:dyDescent="0.3">
      <c r="A397" s="2" t="str">
        <f>HYPERLINK("https://www.pcpacanada.ca/negotiation/20921", "Avastin  (bevacizumab)")</f>
        <v>Avastin  (bevacizumab)</v>
      </c>
      <c r="B397" t="s">
        <v>3068</v>
      </c>
      <c r="C397" t="s">
        <v>2893</v>
      </c>
      <c r="D397" t="s">
        <v>3607</v>
      </c>
      <c r="E397" t="s">
        <v>3608</v>
      </c>
      <c r="F397" t="s">
        <v>3068</v>
      </c>
      <c r="G397" t="s">
        <v>3609</v>
      </c>
      <c r="H397" s="3">
        <v>42566</v>
      </c>
      <c r="I397" s="3">
        <v>42968</v>
      </c>
    </row>
    <row r="398" spans="1:9" x14ac:dyDescent="0.3">
      <c r="A398" s="2" t="str">
        <f>HYPERLINK("https://www.pcpacanada.ca/negotiation/20920", "Avastin  (bevacizumab)")</f>
        <v>Avastin  (bevacizumab)</v>
      </c>
      <c r="B398" t="s">
        <v>3068</v>
      </c>
      <c r="C398" t="s">
        <v>2893</v>
      </c>
      <c r="D398" t="s">
        <v>324</v>
      </c>
      <c r="E398" t="s">
        <v>3610</v>
      </c>
      <c r="F398" t="s">
        <v>3068</v>
      </c>
      <c r="G398" t="s">
        <v>2880</v>
      </c>
      <c r="H398" s="3">
        <v>42389</v>
      </c>
      <c r="I398" s="3">
        <v>42968</v>
      </c>
    </row>
    <row r="399" spans="1:9" x14ac:dyDescent="0.3">
      <c r="A399" s="2" t="str">
        <f>HYPERLINK("https://www.pcpacanada.ca/negotiation/20919", "Sublinox  (zolpidem tartrate)")</f>
        <v>Sublinox  (zolpidem tartrate)</v>
      </c>
      <c r="B399" t="s">
        <v>3384</v>
      </c>
      <c r="C399" t="s">
        <v>2908</v>
      </c>
      <c r="D399" t="s">
        <v>3611</v>
      </c>
      <c r="E399" t="s">
        <v>3612</v>
      </c>
      <c r="F399" t="s">
        <v>3384</v>
      </c>
      <c r="G399" t="s">
        <v>3613</v>
      </c>
      <c r="H399" s="3" t="s">
        <v>2880</v>
      </c>
      <c r="I399" s="3">
        <v>41571</v>
      </c>
    </row>
    <row r="400" spans="1:9" x14ac:dyDescent="0.3">
      <c r="A400" s="2" t="str">
        <f>HYPERLINK("https://www.pcpacanada.ca/negotiation/20918", "Ninlaro  (ixazomib)")</f>
        <v>Ninlaro  (ixazomib)</v>
      </c>
      <c r="B400" t="s">
        <v>243</v>
      </c>
      <c r="C400" t="s">
        <v>2908</v>
      </c>
      <c r="D400" t="s">
        <v>663</v>
      </c>
      <c r="E400" t="s">
        <v>3614</v>
      </c>
      <c r="F400" t="s">
        <v>243</v>
      </c>
      <c r="G400" t="s">
        <v>3615</v>
      </c>
      <c r="H400" s="3" t="s">
        <v>2880</v>
      </c>
      <c r="I400" s="3">
        <v>42965</v>
      </c>
    </row>
    <row r="401" spans="1:9" x14ac:dyDescent="0.3">
      <c r="A401" s="2" t="str">
        <f>HYPERLINK("https://www.pcpacanada.ca/negotiation/20917", "Eylea  (aflibercept)")</f>
        <v>Eylea  (aflibercept)</v>
      </c>
      <c r="B401" t="s">
        <v>146</v>
      </c>
      <c r="C401" t="s">
        <v>2893</v>
      </c>
      <c r="D401" t="s">
        <v>3616</v>
      </c>
      <c r="E401" t="s">
        <v>3617</v>
      </c>
      <c r="F401" t="s">
        <v>146</v>
      </c>
      <c r="G401" t="s">
        <v>880</v>
      </c>
      <c r="H401" s="3">
        <v>42788</v>
      </c>
      <c r="I401" s="3">
        <v>42807</v>
      </c>
    </row>
    <row r="402" spans="1:9" x14ac:dyDescent="0.3">
      <c r="A402" s="2" t="str">
        <f>HYPERLINK("https://www.pcpacanada.ca/negotiation/20916", "Genvoya  (elvitegravir/cobicistat/emtricitabine/tenofovir alafenamide)")</f>
        <v>Genvoya  (elvitegravir/cobicistat/emtricitabine/tenofovir alafenamide)</v>
      </c>
      <c r="B402" t="s">
        <v>539</v>
      </c>
      <c r="C402" t="s">
        <v>2893</v>
      </c>
      <c r="D402" t="s">
        <v>273</v>
      </c>
      <c r="E402" t="s">
        <v>3618</v>
      </c>
      <c r="F402" t="s">
        <v>539</v>
      </c>
      <c r="G402" t="s">
        <v>986</v>
      </c>
      <c r="H402" s="3">
        <v>42597</v>
      </c>
      <c r="I402" s="3">
        <v>42807</v>
      </c>
    </row>
    <row r="403" spans="1:9" x14ac:dyDescent="0.3">
      <c r="A403" s="2" t="str">
        <f>HYPERLINK("https://www.pcpacanada.ca/negotiation/20915", "Entresto  (sacubitril/valsartan)")</f>
        <v>Entresto  (sacubitril/valsartan)</v>
      </c>
      <c r="B403" t="s">
        <v>71</v>
      </c>
      <c r="C403" t="s">
        <v>2893</v>
      </c>
      <c r="D403" t="s">
        <v>806</v>
      </c>
      <c r="E403" t="s">
        <v>3619</v>
      </c>
      <c r="F403" t="s">
        <v>71</v>
      </c>
      <c r="G403" t="s">
        <v>807</v>
      </c>
      <c r="H403" s="3">
        <v>42551</v>
      </c>
      <c r="I403" s="3">
        <v>42800</v>
      </c>
    </row>
    <row r="404" spans="1:9" x14ac:dyDescent="0.3">
      <c r="A404" s="2" t="str">
        <f>HYPERLINK("https://www.pcpacanada.ca/negotiation/20914", "Entyvio  (vedolizumab)")</f>
        <v>Entyvio  (vedolizumab)</v>
      </c>
      <c r="B404" t="s">
        <v>243</v>
      </c>
      <c r="C404" t="s">
        <v>2893</v>
      </c>
      <c r="D404" t="s">
        <v>816</v>
      </c>
      <c r="E404" t="s">
        <v>3620</v>
      </c>
      <c r="F404" t="s">
        <v>243</v>
      </c>
      <c r="G404" t="s">
        <v>817</v>
      </c>
      <c r="H404" s="3">
        <v>42682</v>
      </c>
      <c r="I404" s="3">
        <v>42797</v>
      </c>
    </row>
    <row r="405" spans="1:9" x14ac:dyDescent="0.3">
      <c r="A405" s="2" t="str">
        <f>HYPERLINK("https://www.pcpacanada.ca/negotiation/20913", "Entyvio  (vedolizumab)")</f>
        <v>Entyvio  (vedolizumab)</v>
      </c>
      <c r="B405" t="s">
        <v>243</v>
      </c>
      <c r="C405" t="s">
        <v>2893</v>
      </c>
      <c r="D405" t="s">
        <v>599</v>
      </c>
      <c r="E405" t="s">
        <v>3621</v>
      </c>
      <c r="F405" t="s">
        <v>243</v>
      </c>
      <c r="G405" t="s">
        <v>823</v>
      </c>
      <c r="H405" s="3">
        <v>42516</v>
      </c>
      <c r="I405" s="3">
        <v>42797</v>
      </c>
    </row>
    <row r="406" spans="1:9" x14ac:dyDescent="0.3">
      <c r="A406" s="2" t="str">
        <f>HYPERLINK("https://www.pcpacanada.ca/negotiation/20912", "Epclusa  (sofosbuvir/velpatasvir)")</f>
        <v>Epclusa  (sofosbuvir/velpatasvir)</v>
      </c>
      <c r="B406" t="s">
        <v>539</v>
      </c>
      <c r="C406" t="s">
        <v>2893</v>
      </c>
      <c r="D406" t="s">
        <v>3325</v>
      </c>
      <c r="E406" t="s">
        <v>3622</v>
      </c>
      <c r="F406" t="s">
        <v>539</v>
      </c>
      <c r="G406" t="s">
        <v>826</v>
      </c>
      <c r="H406" s="3">
        <v>42669</v>
      </c>
      <c r="I406" s="3">
        <v>42783</v>
      </c>
    </row>
    <row r="407" spans="1:9" x14ac:dyDescent="0.3">
      <c r="A407" s="2" t="str">
        <f>HYPERLINK("https://www.pcpacanada.ca/negotiation/20911", "Sunvepra  (asunaprevir)")</f>
        <v>Sunvepra  (asunaprevir)</v>
      </c>
      <c r="B407" t="s">
        <v>658</v>
      </c>
      <c r="C407" t="s">
        <v>2893</v>
      </c>
      <c r="D407" t="s">
        <v>3325</v>
      </c>
      <c r="E407" t="s">
        <v>3623</v>
      </c>
      <c r="F407" t="s">
        <v>658</v>
      </c>
      <c r="G407" t="s">
        <v>2228</v>
      </c>
      <c r="H407" s="3">
        <v>42571</v>
      </c>
      <c r="I407" s="3">
        <v>42783</v>
      </c>
    </row>
    <row r="408" spans="1:9" x14ac:dyDescent="0.3">
      <c r="A408" s="2" t="str">
        <f>HYPERLINK("https://www.pcpacanada.ca/negotiation/20910", "Zepatier  (elbasvir/grazoprevir)")</f>
        <v>Zepatier  (elbasvir/grazoprevir)</v>
      </c>
      <c r="B408" t="s">
        <v>289</v>
      </c>
      <c r="C408" t="s">
        <v>2893</v>
      </c>
      <c r="D408" t="s">
        <v>3325</v>
      </c>
      <c r="E408" t="s">
        <v>3624</v>
      </c>
      <c r="F408" t="s">
        <v>289</v>
      </c>
      <c r="G408" t="s">
        <v>2816</v>
      </c>
      <c r="H408" s="3">
        <v>42474</v>
      </c>
      <c r="I408" s="3">
        <v>42783</v>
      </c>
    </row>
    <row r="409" spans="1:9" x14ac:dyDescent="0.3">
      <c r="A409" s="2" t="str">
        <f>HYPERLINK("https://www.pcpacanada.ca/negotiation/20909", "Otezla  (apremilast)")</f>
        <v>Otezla  (apremilast)</v>
      </c>
      <c r="B409" t="s">
        <v>61</v>
      </c>
      <c r="C409" t="s">
        <v>3082</v>
      </c>
      <c r="D409" t="s">
        <v>2902</v>
      </c>
      <c r="E409" t="s">
        <v>3625</v>
      </c>
      <c r="F409" t="s">
        <v>61</v>
      </c>
      <c r="G409" t="s">
        <v>1807</v>
      </c>
      <c r="H409" s="3">
        <v>42912</v>
      </c>
      <c r="I409" s="3">
        <v>42986</v>
      </c>
    </row>
    <row r="410" spans="1:9" x14ac:dyDescent="0.3">
      <c r="A410" s="2" t="str">
        <f>HYPERLINK("https://www.pcpacanada.ca/negotiation/20908", "Plegridy  (peginterferon beta-1a)")</f>
        <v>Plegridy  (peginterferon beta-1a)</v>
      </c>
      <c r="B410" t="s">
        <v>1874</v>
      </c>
      <c r="C410" t="s">
        <v>2893</v>
      </c>
      <c r="D410" t="s">
        <v>1287</v>
      </c>
      <c r="E410" t="s">
        <v>3626</v>
      </c>
      <c r="F410" t="s">
        <v>1874</v>
      </c>
      <c r="G410" t="s">
        <v>1873</v>
      </c>
      <c r="H410" s="3">
        <v>42538</v>
      </c>
      <c r="I410" s="3">
        <v>42780</v>
      </c>
    </row>
    <row r="411" spans="1:9" x14ac:dyDescent="0.3">
      <c r="A411" s="2" t="str">
        <f>HYPERLINK("https://www.pcpacanada.ca/negotiation/20907", "Opsumit  (macitentan)")</f>
        <v>Opsumit  (macitentan)</v>
      </c>
      <c r="B411" t="s">
        <v>3265</v>
      </c>
      <c r="C411" t="s">
        <v>3082</v>
      </c>
      <c r="D411" t="s">
        <v>3266</v>
      </c>
      <c r="E411" t="s">
        <v>3627</v>
      </c>
      <c r="F411" t="s">
        <v>3265</v>
      </c>
      <c r="G411" t="s">
        <v>3628</v>
      </c>
      <c r="H411" s="3">
        <v>42088</v>
      </c>
      <c r="I411" s="3">
        <v>42356</v>
      </c>
    </row>
    <row r="412" spans="1:9" x14ac:dyDescent="0.3">
      <c r="A412" s="2" t="str">
        <f>HYPERLINK("https://www.pcpacanada.ca/negotiation/20906", "Caprelsa  (vandetanib)")</f>
        <v>Caprelsa  (vandetanib)</v>
      </c>
      <c r="B412" t="s">
        <v>3475</v>
      </c>
      <c r="C412" t="s">
        <v>3082</v>
      </c>
      <c r="D412" t="s">
        <v>531</v>
      </c>
      <c r="E412" t="s">
        <v>3629</v>
      </c>
      <c r="F412" t="s">
        <v>3475</v>
      </c>
      <c r="G412" t="s">
        <v>3630</v>
      </c>
      <c r="H412" s="3">
        <v>42888</v>
      </c>
      <c r="I412" s="3">
        <v>42963</v>
      </c>
    </row>
    <row r="413" spans="1:9" x14ac:dyDescent="0.3">
      <c r="A413" s="2" t="str">
        <f>HYPERLINK("https://www.pcpacanada.ca/negotiation/20905", "Jakavi  (ruxolintib)")</f>
        <v>Jakavi  (ruxolintib)</v>
      </c>
      <c r="B413" t="s">
        <v>71</v>
      </c>
      <c r="C413" t="s">
        <v>2893</v>
      </c>
      <c r="D413" t="s">
        <v>1217</v>
      </c>
      <c r="E413" t="s">
        <v>3631</v>
      </c>
      <c r="F413" t="s">
        <v>71</v>
      </c>
      <c r="G413" t="s">
        <v>3632</v>
      </c>
      <c r="H413" s="3">
        <v>42551</v>
      </c>
      <c r="I413" s="3">
        <v>42955</v>
      </c>
    </row>
    <row r="414" spans="1:9" x14ac:dyDescent="0.3">
      <c r="A414" s="2" t="str">
        <f>HYPERLINK("https://www.pcpacanada.ca/negotiation/20904", "Alecensaro  (alectinib)")</f>
        <v>Alecensaro  (alectinib)</v>
      </c>
      <c r="B414" t="s">
        <v>3068</v>
      </c>
      <c r="C414" t="s">
        <v>2908</v>
      </c>
      <c r="D414" t="s">
        <v>3580</v>
      </c>
      <c r="E414" t="s">
        <v>3633</v>
      </c>
      <c r="F414" t="s">
        <v>3068</v>
      </c>
      <c r="G414" t="s">
        <v>3634</v>
      </c>
      <c r="H414" s="3" t="s">
        <v>2880</v>
      </c>
      <c r="I414" s="3">
        <v>42947</v>
      </c>
    </row>
    <row r="415" spans="1:9" x14ac:dyDescent="0.3">
      <c r="A415" s="2" t="str">
        <f>HYPERLINK("https://www.pcpacanada.ca/negotiation/20903", "Stelara  (ustekinumab)")</f>
        <v>Stelara  (ustekinumab)</v>
      </c>
      <c r="B415" t="s">
        <v>665</v>
      </c>
      <c r="C415" t="s">
        <v>2908</v>
      </c>
      <c r="D415" t="s">
        <v>2902</v>
      </c>
      <c r="E415" t="s">
        <v>3635</v>
      </c>
      <c r="F415" t="s">
        <v>665</v>
      </c>
      <c r="G415" t="s">
        <v>2189</v>
      </c>
      <c r="H415" s="3" t="s">
        <v>2880</v>
      </c>
      <c r="I415" s="3">
        <v>41970</v>
      </c>
    </row>
    <row r="416" spans="1:9" x14ac:dyDescent="0.3">
      <c r="A416" s="2" t="str">
        <f>HYPERLINK("https://www.pcpacanada.ca/negotiation/20902", "Votrient  (pazopanib hydrochloride)")</f>
        <v>Votrient  (pazopanib hydrochloride)</v>
      </c>
      <c r="B416" t="s">
        <v>455</v>
      </c>
      <c r="C416" t="s">
        <v>2893</v>
      </c>
      <c r="D416" t="s">
        <v>1153</v>
      </c>
      <c r="E416" t="s">
        <v>3636</v>
      </c>
      <c r="F416" t="s">
        <v>455</v>
      </c>
      <c r="G416" t="s">
        <v>2880</v>
      </c>
      <c r="H416" s="3">
        <v>42825</v>
      </c>
      <c r="I416" s="3">
        <v>42919</v>
      </c>
    </row>
    <row r="417" spans="1:9" x14ac:dyDescent="0.3">
      <c r="A417" s="2" t="str">
        <f>HYPERLINK("https://www.pcpacanada.ca/negotiation/20901", "Signifor  (pasireotide diaspartate)")</f>
        <v>Signifor  (pasireotide diaspartate)</v>
      </c>
      <c r="B417" t="s">
        <v>71</v>
      </c>
      <c r="C417" t="s">
        <v>2908</v>
      </c>
      <c r="D417" t="s">
        <v>3637</v>
      </c>
      <c r="E417" t="s">
        <v>3638</v>
      </c>
      <c r="F417" t="s">
        <v>71</v>
      </c>
      <c r="G417" t="s">
        <v>2122</v>
      </c>
      <c r="H417" s="3" t="s">
        <v>2880</v>
      </c>
      <c r="I417" s="3">
        <v>42124</v>
      </c>
    </row>
    <row r="418" spans="1:9" x14ac:dyDescent="0.3">
      <c r="A418" s="2" t="str">
        <f>HYPERLINK("https://www.pcpacanada.ca/negotiation/20900", "Samsca  (tolvaptan)")</f>
        <v>Samsca  (tolvaptan)</v>
      </c>
      <c r="B418" t="s">
        <v>3437</v>
      </c>
      <c r="C418" t="s">
        <v>2908</v>
      </c>
      <c r="D418" t="s">
        <v>2089</v>
      </c>
      <c r="E418" t="s">
        <v>3639</v>
      </c>
      <c r="F418" t="s">
        <v>3437</v>
      </c>
      <c r="G418" t="s">
        <v>3640</v>
      </c>
      <c r="H418" s="3" t="s">
        <v>2880</v>
      </c>
      <c r="I418" s="3">
        <v>41670</v>
      </c>
    </row>
    <row r="419" spans="1:9" x14ac:dyDescent="0.3">
      <c r="A419" s="2" t="str">
        <f>HYPERLINK("https://www.pcpacanada.ca/negotiation/20899", "Imbruvica  (ibrutinib)")</f>
        <v>Imbruvica  (ibrutinib)</v>
      </c>
      <c r="B419" t="s">
        <v>665</v>
      </c>
      <c r="C419" t="s">
        <v>2893</v>
      </c>
      <c r="D419" t="s">
        <v>2987</v>
      </c>
      <c r="E419" t="s">
        <v>3641</v>
      </c>
      <c r="F419" t="s">
        <v>665</v>
      </c>
      <c r="G419" t="s">
        <v>3642</v>
      </c>
      <c r="H419" s="3">
        <v>42724</v>
      </c>
      <c r="I419" s="3">
        <v>42913</v>
      </c>
    </row>
    <row r="420" spans="1:9" x14ac:dyDescent="0.3">
      <c r="A420" s="2" t="str">
        <f>HYPERLINK("https://www.pcpacanada.ca/negotiation/20898", "Grastofil  (filgrastim)")</f>
        <v>Grastofil  (filgrastim)</v>
      </c>
      <c r="B420" t="s">
        <v>3643</v>
      </c>
      <c r="C420" t="s">
        <v>2893</v>
      </c>
      <c r="D420" t="s">
        <v>2341</v>
      </c>
      <c r="E420" t="s">
        <v>3644</v>
      </c>
      <c r="F420" t="s">
        <v>3643</v>
      </c>
      <c r="G420" t="s">
        <v>1009</v>
      </c>
      <c r="H420" s="3">
        <v>42536</v>
      </c>
      <c r="I420" s="3">
        <v>42716</v>
      </c>
    </row>
    <row r="421" spans="1:9" x14ac:dyDescent="0.3">
      <c r="A421" s="2" t="str">
        <f>HYPERLINK("https://www.pcpacanada.ca/negotiation/20897", "Xolair  (omalizumab)")</f>
        <v>Xolair  (omalizumab)</v>
      </c>
      <c r="B421" t="s">
        <v>71</v>
      </c>
      <c r="C421" t="s">
        <v>2893</v>
      </c>
      <c r="D421" t="s">
        <v>3645</v>
      </c>
      <c r="E421" t="s">
        <v>3646</v>
      </c>
      <c r="F421" t="s">
        <v>71</v>
      </c>
      <c r="G421" t="s">
        <v>2743</v>
      </c>
      <c r="H421" s="3">
        <v>42202</v>
      </c>
      <c r="I421" s="3">
        <v>42702</v>
      </c>
    </row>
    <row r="422" spans="1:9" x14ac:dyDescent="0.3">
      <c r="A422" s="2" t="str">
        <f>HYPERLINK("https://www.pcpacanada.ca/negotiation/20896", "Imbruvica  (ibrutinib)")</f>
        <v>Imbruvica  (ibrutinib)</v>
      </c>
      <c r="B422" t="s">
        <v>665</v>
      </c>
      <c r="C422" t="s">
        <v>2893</v>
      </c>
      <c r="D422" t="s">
        <v>3647</v>
      </c>
      <c r="E422" t="s">
        <v>3648</v>
      </c>
      <c r="F422" t="s">
        <v>665</v>
      </c>
      <c r="G422" t="s">
        <v>3649</v>
      </c>
      <c r="H422" s="3">
        <v>42594</v>
      </c>
      <c r="I422" s="3">
        <v>42913</v>
      </c>
    </row>
    <row r="423" spans="1:9" x14ac:dyDescent="0.3">
      <c r="A423" s="2" t="str">
        <f>HYPERLINK("https://www.pcpacanada.ca/negotiation/20895", "Lenvima  (lenvatinib)")</f>
        <v>Lenvima  (lenvatinib)</v>
      </c>
      <c r="B423" t="s">
        <v>224</v>
      </c>
      <c r="C423" t="s">
        <v>2893</v>
      </c>
      <c r="D423" t="s">
        <v>1416</v>
      </c>
      <c r="E423" t="s">
        <v>3650</v>
      </c>
      <c r="F423" t="s">
        <v>224</v>
      </c>
      <c r="G423" t="s">
        <v>3651</v>
      </c>
      <c r="H423" s="3">
        <v>42829</v>
      </c>
      <c r="I423" s="3">
        <v>42902</v>
      </c>
    </row>
    <row r="424" spans="1:9" x14ac:dyDescent="0.3">
      <c r="A424" s="2" t="str">
        <f>HYPERLINK("https://www.pcpacanada.ca/negotiation/20894", "Mozobil  (plerixafor)")</f>
        <v>Mozobil  (plerixafor)</v>
      </c>
      <c r="B424" t="s">
        <v>152</v>
      </c>
      <c r="C424" t="s">
        <v>2893</v>
      </c>
      <c r="D424" t="s">
        <v>3652</v>
      </c>
      <c r="E424" t="s">
        <v>3653</v>
      </c>
      <c r="F424" t="s">
        <v>152</v>
      </c>
      <c r="G424" t="s">
        <v>2880</v>
      </c>
      <c r="H424" s="3">
        <v>42843</v>
      </c>
      <c r="I424" s="3">
        <v>42892</v>
      </c>
    </row>
    <row r="425" spans="1:9" x14ac:dyDescent="0.3">
      <c r="A425" s="2" t="str">
        <f>HYPERLINK("https://www.pcpacanada.ca/negotiation/20893", "Rituxan SC  (rituximab)")</f>
        <v>Rituxan SC  (rituximab)</v>
      </c>
      <c r="B425" t="s">
        <v>3068</v>
      </c>
      <c r="C425" t="s">
        <v>2893</v>
      </c>
      <c r="D425" t="s">
        <v>3654</v>
      </c>
      <c r="E425" t="s">
        <v>3655</v>
      </c>
      <c r="F425" t="s">
        <v>3068</v>
      </c>
      <c r="G425" t="s">
        <v>2880</v>
      </c>
      <c r="H425" s="3">
        <v>42718</v>
      </c>
      <c r="I425" s="3">
        <v>42879</v>
      </c>
    </row>
    <row r="426" spans="1:9" x14ac:dyDescent="0.3">
      <c r="A426" s="2" t="str">
        <f>HYPERLINK("https://www.pcpacanada.ca/negotiation/20892", "Otezla  (apremilast)")</f>
        <v>Otezla  (apremilast)</v>
      </c>
      <c r="B426" t="s">
        <v>61</v>
      </c>
      <c r="C426" t="s">
        <v>3082</v>
      </c>
      <c r="D426" t="s">
        <v>558</v>
      </c>
      <c r="E426" t="s">
        <v>3656</v>
      </c>
      <c r="F426" t="s">
        <v>61</v>
      </c>
      <c r="G426" t="s">
        <v>1805</v>
      </c>
      <c r="H426" s="3">
        <v>42912</v>
      </c>
      <c r="I426" s="3">
        <v>42986</v>
      </c>
    </row>
    <row r="427" spans="1:9" x14ac:dyDescent="0.3">
      <c r="A427" s="2" t="str">
        <f>HYPERLINK("https://www.pcpacanada.ca/negotiation/20891", "Forxiga  (dapagliflozin)")</f>
        <v>Forxiga  (dapagliflozin)</v>
      </c>
      <c r="B427" t="s">
        <v>465</v>
      </c>
      <c r="C427" t="s">
        <v>2893</v>
      </c>
      <c r="D427" t="s">
        <v>1192</v>
      </c>
      <c r="E427" t="s">
        <v>3657</v>
      </c>
      <c r="F427" t="s">
        <v>465</v>
      </c>
      <c r="G427" t="s">
        <v>935</v>
      </c>
      <c r="H427" s="3">
        <v>42517</v>
      </c>
      <c r="I427" s="3">
        <v>42646</v>
      </c>
    </row>
    <row r="428" spans="1:9" x14ac:dyDescent="0.3">
      <c r="A428" s="2" t="str">
        <f>HYPERLINK("https://www.pcpacanada.ca/negotiation/20890", "Vectibix  (panitumumab)")</f>
        <v>Vectibix  (panitumumab)</v>
      </c>
      <c r="B428" t="s">
        <v>407</v>
      </c>
      <c r="C428" t="s">
        <v>2893</v>
      </c>
      <c r="D428" t="s">
        <v>324</v>
      </c>
      <c r="E428" t="s">
        <v>3658</v>
      </c>
      <c r="F428" t="s">
        <v>407</v>
      </c>
      <c r="G428" t="s">
        <v>3659</v>
      </c>
      <c r="H428" s="3">
        <v>42361</v>
      </c>
      <c r="I428" s="3">
        <v>42877</v>
      </c>
    </row>
    <row r="429" spans="1:9" x14ac:dyDescent="0.3">
      <c r="A429" s="2" t="str">
        <f>HYPERLINK("https://www.pcpacanada.ca/negotiation/20889", "Cotellic  (cobimetinib)")</f>
        <v>Cotellic  (cobimetinib)</v>
      </c>
      <c r="B429" t="s">
        <v>3068</v>
      </c>
      <c r="C429" t="s">
        <v>2893</v>
      </c>
      <c r="D429" t="s">
        <v>1313</v>
      </c>
      <c r="E429" t="s">
        <v>3660</v>
      </c>
      <c r="F429" t="s">
        <v>3068</v>
      </c>
      <c r="G429" t="s">
        <v>3661</v>
      </c>
      <c r="H429" s="3">
        <v>42594</v>
      </c>
      <c r="I429" s="3">
        <v>42866</v>
      </c>
    </row>
    <row r="430" spans="1:9" x14ac:dyDescent="0.3">
      <c r="A430" s="2" t="str">
        <f>HYPERLINK("https://www.pcpacanada.ca/negotiation/20888", "Esbriet  (pirfenidone)")</f>
        <v>Esbriet  (pirfenidone)</v>
      </c>
      <c r="B430" t="s">
        <v>3068</v>
      </c>
      <c r="C430" t="s">
        <v>2893</v>
      </c>
      <c r="D430" t="s">
        <v>3662</v>
      </c>
      <c r="E430" t="s">
        <v>3663</v>
      </c>
      <c r="F430" t="s">
        <v>3068</v>
      </c>
      <c r="G430" t="s">
        <v>3664</v>
      </c>
      <c r="H430" s="3">
        <v>42124</v>
      </c>
      <c r="I430" s="3">
        <v>42624</v>
      </c>
    </row>
    <row r="431" spans="1:9" x14ac:dyDescent="0.3">
      <c r="A431" s="2" t="str">
        <f>HYPERLINK("https://www.pcpacanada.ca/negotiation/20887", "Ferriprox  (deferiprone)")</f>
        <v>Ferriprox  (deferiprone)</v>
      </c>
      <c r="B431" t="s">
        <v>3643</v>
      </c>
      <c r="C431" t="s">
        <v>2893</v>
      </c>
      <c r="D431" t="s">
        <v>902</v>
      </c>
      <c r="E431" t="s">
        <v>3665</v>
      </c>
      <c r="F431" t="s">
        <v>3643</v>
      </c>
      <c r="G431" t="s">
        <v>903</v>
      </c>
      <c r="H431" s="3">
        <v>42503</v>
      </c>
      <c r="I431" s="3">
        <v>42620</v>
      </c>
    </row>
    <row r="432" spans="1:9" x14ac:dyDescent="0.3">
      <c r="A432" s="2" t="str">
        <f>HYPERLINK("https://www.pcpacanada.ca/negotiation/20886", "Ofev  (nintedanib)")</f>
        <v>Ofev  (nintedanib)</v>
      </c>
      <c r="B432" t="s">
        <v>2992</v>
      </c>
      <c r="C432" t="s">
        <v>2893</v>
      </c>
      <c r="D432" t="s">
        <v>3666</v>
      </c>
      <c r="E432" t="s">
        <v>3667</v>
      </c>
      <c r="F432" t="s">
        <v>2992</v>
      </c>
      <c r="G432" t="s">
        <v>1681</v>
      </c>
      <c r="H432" s="3">
        <v>42304</v>
      </c>
      <c r="I432" s="3">
        <v>42611</v>
      </c>
    </row>
    <row r="433" spans="1:9" x14ac:dyDescent="0.3">
      <c r="A433" s="2" t="str">
        <f>HYPERLINK("https://www.pcpacanada.ca/negotiation/20885", "Simponi SC  (golimumab)")</f>
        <v>Simponi SC  (golimumab)</v>
      </c>
      <c r="B433" t="s">
        <v>665</v>
      </c>
      <c r="C433" t="s">
        <v>2893</v>
      </c>
      <c r="D433" t="s">
        <v>599</v>
      </c>
      <c r="E433" t="s">
        <v>3668</v>
      </c>
      <c r="F433" t="s">
        <v>665</v>
      </c>
      <c r="G433" t="s">
        <v>2880</v>
      </c>
      <c r="H433" s="3">
        <v>41782</v>
      </c>
      <c r="I433" s="3">
        <v>42594</v>
      </c>
    </row>
    <row r="434" spans="1:9" x14ac:dyDescent="0.3">
      <c r="A434" s="2" t="str">
        <f>HYPERLINK("https://www.pcpacanada.ca/negotiation/20884", "Arnuity Ellipta  (fluticasone furoate)")</f>
        <v>Arnuity Ellipta  (fluticasone furoate)</v>
      </c>
      <c r="B434" t="s">
        <v>455</v>
      </c>
      <c r="C434" t="s">
        <v>2893</v>
      </c>
      <c r="D434" t="s">
        <v>164</v>
      </c>
      <c r="E434" t="s">
        <v>3669</v>
      </c>
      <c r="F434" t="s">
        <v>455</v>
      </c>
      <c r="G434" t="s">
        <v>279</v>
      </c>
      <c r="H434" s="3">
        <v>42473</v>
      </c>
      <c r="I434" s="3">
        <v>42590</v>
      </c>
    </row>
    <row r="435" spans="1:9" x14ac:dyDescent="0.3">
      <c r="A435" s="2" t="str">
        <f>HYPERLINK("https://www.pcpacanada.ca/negotiation/20883", "Breo Ellipta  (fluticasone furoate/vilanterol)")</f>
        <v>Breo Ellipta  (fluticasone furoate/vilanterol)</v>
      </c>
      <c r="B435" t="s">
        <v>455</v>
      </c>
      <c r="C435" t="s">
        <v>2893</v>
      </c>
      <c r="D435" t="s">
        <v>164</v>
      </c>
      <c r="E435" t="s">
        <v>3670</v>
      </c>
      <c r="F435" t="s">
        <v>455</v>
      </c>
      <c r="G435" t="s">
        <v>459</v>
      </c>
      <c r="H435" s="3">
        <v>42473</v>
      </c>
      <c r="I435" s="3">
        <v>42562</v>
      </c>
    </row>
    <row r="436" spans="1:9" x14ac:dyDescent="0.3">
      <c r="A436" s="2" t="str">
        <f>HYPERLINK("https://www.pcpacanada.ca/negotiation/20882", "Opdivo  (nivolumab)")</f>
        <v>Opdivo  (nivolumab)</v>
      </c>
      <c r="B436" t="s">
        <v>658</v>
      </c>
      <c r="C436" t="s">
        <v>2893</v>
      </c>
      <c r="D436" t="s">
        <v>1153</v>
      </c>
      <c r="E436" t="s">
        <v>3671</v>
      </c>
      <c r="F436" t="s">
        <v>658</v>
      </c>
      <c r="G436" t="s">
        <v>3672</v>
      </c>
      <c r="H436" s="3">
        <v>42692</v>
      </c>
      <c r="I436" s="3">
        <v>42755</v>
      </c>
    </row>
    <row r="437" spans="1:9" x14ac:dyDescent="0.3">
      <c r="A437" s="2" t="str">
        <f>HYPERLINK("https://www.pcpacanada.ca/negotiation/20881", "Cosentyx  (secukinumab)")</f>
        <v>Cosentyx  (secukinumab)</v>
      </c>
      <c r="B437" t="s">
        <v>71</v>
      </c>
      <c r="C437" t="s">
        <v>2893</v>
      </c>
      <c r="D437" t="s">
        <v>558</v>
      </c>
      <c r="E437" t="s">
        <v>3673</v>
      </c>
      <c r="F437" t="s">
        <v>71</v>
      </c>
      <c r="G437" t="s">
        <v>608</v>
      </c>
      <c r="H437" s="3">
        <v>42353</v>
      </c>
      <c r="I437" s="3">
        <v>42529</v>
      </c>
    </row>
    <row r="438" spans="1:9" x14ac:dyDescent="0.3">
      <c r="A438" s="2" t="str">
        <f>HYPERLINK("https://www.pcpacanada.ca/negotiation/20880", "Opdivo  (nivolumab)")</f>
        <v>Opdivo  (nivolumab)</v>
      </c>
      <c r="B438" t="s">
        <v>658</v>
      </c>
      <c r="C438" t="s">
        <v>2893</v>
      </c>
      <c r="D438" t="s">
        <v>3257</v>
      </c>
      <c r="E438" t="s">
        <v>3674</v>
      </c>
      <c r="F438" t="s">
        <v>658</v>
      </c>
      <c r="G438" t="s">
        <v>3675</v>
      </c>
      <c r="H438" s="3">
        <v>42555</v>
      </c>
      <c r="I438" s="3">
        <v>42755</v>
      </c>
    </row>
    <row r="439" spans="1:9" x14ac:dyDescent="0.3">
      <c r="A439" s="2" t="str">
        <f>HYPERLINK("https://www.pcpacanada.ca/negotiation/20879", "Opdivo  (nivolumab)")</f>
        <v>Opdivo  (nivolumab)</v>
      </c>
      <c r="B439" t="s">
        <v>658</v>
      </c>
      <c r="C439" t="s">
        <v>2893</v>
      </c>
      <c r="D439" t="s">
        <v>1313</v>
      </c>
      <c r="E439" t="s">
        <v>3676</v>
      </c>
      <c r="F439" t="s">
        <v>658</v>
      </c>
      <c r="G439" t="s">
        <v>3677</v>
      </c>
      <c r="H439" s="3">
        <v>42494</v>
      </c>
      <c r="I439" s="3">
        <v>42755</v>
      </c>
    </row>
    <row r="440" spans="1:9" x14ac:dyDescent="0.3">
      <c r="A440" s="2" t="str">
        <f>HYPERLINK("https://www.pcpacanada.ca/negotiation/20878", "Lemtrada  (alemtuzumab)")</f>
        <v>Lemtrada  (alemtuzumab)</v>
      </c>
      <c r="B440" t="s">
        <v>3475</v>
      </c>
      <c r="C440" t="s">
        <v>2893</v>
      </c>
      <c r="D440" t="s">
        <v>2931</v>
      </c>
      <c r="E440" t="s">
        <v>3678</v>
      </c>
      <c r="F440" t="s">
        <v>3475</v>
      </c>
      <c r="G440" t="s">
        <v>1411</v>
      </c>
      <c r="H440" s="3">
        <v>42213</v>
      </c>
      <c r="I440" s="3">
        <v>42501</v>
      </c>
    </row>
    <row r="441" spans="1:9" x14ac:dyDescent="0.3">
      <c r="A441" s="2" t="str">
        <f>HYPERLINK("https://www.pcpacanada.ca/negotiation/20877", "Xeljanz  (tofacitinib)")</f>
        <v>Xeljanz  (tofacitinib)</v>
      </c>
      <c r="B441" t="s">
        <v>445</v>
      </c>
      <c r="C441" t="s">
        <v>2893</v>
      </c>
      <c r="D441" t="s">
        <v>3142</v>
      </c>
      <c r="E441" t="s">
        <v>3679</v>
      </c>
      <c r="F441" t="s">
        <v>445</v>
      </c>
      <c r="G441" t="s">
        <v>2702</v>
      </c>
      <c r="H441" s="3">
        <v>42206</v>
      </c>
      <c r="I441" s="3">
        <v>42486</v>
      </c>
    </row>
    <row r="442" spans="1:9" x14ac:dyDescent="0.3">
      <c r="A442" s="2" t="str">
        <f>HYPERLINK("https://www.pcpacanada.ca/negotiation/20876", "Daklinza  (daclatasvir)")</f>
        <v>Daklinza  (daclatasvir)</v>
      </c>
      <c r="B442" t="s">
        <v>658</v>
      </c>
      <c r="C442" t="s">
        <v>3082</v>
      </c>
      <c r="D442" t="s">
        <v>3325</v>
      </c>
      <c r="E442" t="s">
        <v>3680</v>
      </c>
      <c r="F442" t="s">
        <v>658</v>
      </c>
      <c r="G442" t="s">
        <v>654</v>
      </c>
      <c r="H442" s="3" t="s">
        <v>2880</v>
      </c>
      <c r="I442" s="3">
        <v>42446</v>
      </c>
    </row>
    <row r="443" spans="1:9" x14ac:dyDescent="0.3">
      <c r="A443" s="2" t="str">
        <f>HYPERLINK("https://www.pcpacanada.ca/negotiation/20875", "Zydelig  (idelalisib)")</f>
        <v>Zydelig  (idelalisib)</v>
      </c>
      <c r="B443" t="s">
        <v>539</v>
      </c>
      <c r="C443" t="s">
        <v>2908</v>
      </c>
      <c r="D443" t="s">
        <v>967</v>
      </c>
      <c r="E443" t="s">
        <v>3681</v>
      </c>
      <c r="F443" t="s">
        <v>539</v>
      </c>
      <c r="G443" t="s">
        <v>3682</v>
      </c>
      <c r="H443" s="3" t="s">
        <v>2880</v>
      </c>
      <c r="I443" s="3">
        <v>42748</v>
      </c>
    </row>
    <row r="444" spans="1:9" x14ac:dyDescent="0.3">
      <c r="A444" s="2" t="str">
        <f>HYPERLINK("https://www.pcpacanada.ca/negotiation/20874", "Jardiance  (empagliflozin)")</f>
        <v>Jardiance  (empagliflozin)</v>
      </c>
      <c r="B444" t="s">
        <v>2992</v>
      </c>
      <c r="C444" t="s">
        <v>2893</v>
      </c>
      <c r="D444" t="s">
        <v>3549</v>
      </c>
      <c r="E444" t="s">
        <v>3683</v>
      </c>
      <c r="F444" t="s">
        <v>2992</v>
      </c>
      <c r="G444" t="s">
        <v>1229</v>
      </c>
      <c r="H444" s="3">
        <v>42432</v>
      </c>
      <c r="I444" s="3">
        <v>42473</v>
      </c>
    </row>
    <row r="445" spans="1:9" x14ac:dyDescent="0.3">
      <c r="A445" s="2" t="str">
        <f>HYPERLINK("https://www.pcpacanada.ca/negotiation/20873", "Trajenta/Jentaduo  (linagliptin (linagliptin/metformin))")</f>
        <v>Trajenta/Jentaduo  (linagliptin (linagliptin/metformin))</v>
      </c>
      <c r="B445" t="s">
        <v>2992</v>
      </c>
      <c r="C445" t="s">
        <v>2893</v>
      </c>
      <c r="D445" t="s">
        <v>1192</v>
      </c>
      <c r="E445" t="s">
        <v>3684</v>
      </c>
      <c r="F445" t="s">
        <v>2992</v>
      </c>
      <c r="G445" t="s">
        <v>2880</v>
      </c>
      <c r="H445" s="3">
        <v>42251</v>
      </c>
      <c r="I445" s="3">
        <v>42472</v>
      </c>
    </row>
    <row r="446" spans="1:9" x14ac:dyDescent="0.3">
      <c r="A446" s="2" t="str">
        <f>HYPERLINK("https://www.pcpacanada.ca/negotiation/20872", "Nesina  (alogliptin)")</f>
        <v>Nesina  (alogliptin)</v>
      </c>
      <c r="B446" t="s">
        <v>243</v>
      </c>
      <c r="C446" t="s">
        <v>2908</v>
      </c>
      <c r="D446" t="s">
        <v>1192</v>
      </c>
      <c r="E446" t="s">
        <v>3685</v>
      </c>
      <c r="F446" t="s">
        <v>243</v>
      </c>
      <c r="G446" t="s">
        <v>1604</v>
      </c>
      <c r="H446" s="3" t="s">
        <v>2880</v>
      </c>
      <c r="I446" s="3">
        <v>42032</v>
      </c>
    </row>
    <row r="447" spans="1:9" x14ac:dyDescent="0.3">
      <c r="A447" s="2" t="str">
        <f>HYPERLINK("https://www.pcpacanada.ca/negotiation/20871", "Prezcobix  (darunavir/cobicistat)")</f>
        <v>Prezcobix  (darunavir/cobicistat)</v>
      </c>
      <c r="B447" t="s">
        <v>665</v>
      </c>
      <c r="C447" t="s">
        <v>2893</v>
      </c>
      <c r="D447" t="s">
        <v>1909</v>
      </c>
      <c r="E447" t="s">
        <v>3686</v>
      </c>
      <c r="F447" t="s">
        <v>665</v>
      </c>
      <c r="G447" t="s">
        <v>1910</v>
      </c>
      <c r="H447" s="3">
        <v>42165</v>
      </c>
      <c r="I447" s="3">
        <v>42453</v>
      </c>
    </row>
    <row r="448" spans="1:9" x14ac:dyDescent="0.3">
      <c r="A448" s="2" t="str">
        <f>HYPERLINK("https://www.pcpacanada.ca/negotiation/20870", "Inspiolto Respimat  (tiotropium/olodaterol)")</f>
        <v>Inspiolto Respimat  (tiotropium/olodaterol)</v>
      </c>
      <c r="B448" t="s">
        <v>2992</v>
      </c>
      <c r="C448" t="s">
        <v>2893</v>
      </c>
      <c r="D448" t="s">
        <v>1173</v>
      </c>
      <c r="E448" t="s">
        <v>3687</v>
      </c>
      <c r="F448" t="s">
        <v>2992</v>
      </c>
      <c r="G448" t="s">
        <v>1168</v>
      </c>
      <c r="H448" s="3">
        <v>42422</v>
      </c>
      <c r="I448" s="3">
        <v>42431</v>
      </c>
    </row>
    <row r="449" spans="1:9" x14ac:dyDescent="0.3">
      <c r="A449" s="2" t="str">
        <f>HYPERLINK("https://www.pcpacanada.ca/negotiation/20869", "Spiriva Respimat  (tiotropium bromide)")</f>
        <v>Spiriva Respimat  (tiotropium bromide)</v>
      </c>
      <c r="B449" t="s">
        <v>2992</v>
      </c>
      <c r="C449" t="s">
        <v>2893</v>
      </c>
      <c r="D449" t="s">
        <v>2488</v>
      </c>
      <c r="E449" t="s">
        <v>3688</v>
      </c>
      <c r="F449" t="s">
        <v>2992</v>
      </c>
      <c r="G449" t="s">
        <v>2175</v>
      </c>
      <c r="H449" s="3">
        <v>42237</v>
      </c>
      <c r="I449" s="3">
        <v>42431</v>
      </c>
    </row>
    <row r="450" spans="1:9" x14ac:dyDescent="0.3">
      <c r="A450" s="2" t="str">
        <f>HYPERLINK("https://www.pcpacanada.ca/negotiation/20868", "Byetta  (exenatide)")</f>
        <v>Byetta  (exenatide)</v>
      </c>
      <c r="B450" t="s">
        <v>465</v>
      </c>
      <c r="C450" t="s">
        <v>3082</v>
      </c>
      <c r="D450" t="s">
        <v>1192</v>
      </c>
      <c r="E450" t="s">
        <v>3689</v>
      </c>
      <c r="F450" t="s">
        <v>465</v>
      </c>
      <c r="G450" t="s">
        <v>3690</v>
      </c>
      <c r="H450" s="3">
        <v>41061</v>
      </c>
      <c r="I450" s="3">
        <v>41438</v>
      </c>
    </row>
    <row r="451" spans="1:9" x14ac:dyDescent="0.3">
      <c r="A451" s="2" t="str">
        <f>HYPERLINK("https://www.pcpacanada.ca/negotiation/20867", "Blincyto  (blinatumomab)")</f>
        <v>Blincyto  (blinatumomab)</v>
      </c>
      <c r="B451" t="s">
        <v>407</v>
      </c>
      <c r="C451" t="s">
        <v>2893</v>
      </c>
      <c r="D451" t="s">
        <v>403</v>
      </c>
      <c r="E451" t="s">
        <v>3691</v>
      </c>
      <c r="F451" t="s">
        <v>407</v>
      </c>
      <c r="G451" t="s">
        <v>3692</v>
      </c>
      <c r="H451" s="3">
        <v>42487</v>
      </c>
      <c r="I451" s="3">
        <v>42744</v>
      </c>
    </row>
    <row r="452" spans="1:9" x14ac:dyDescent="0.3">
      <c r="A452" s="2" t="str">
        <f>HYPERLINK("https://www.pcpacanada.ca/negotiation/20866", "Januvia  (sitagliptin phosphate)")</f>
        <v>Januvia  (sitagliptin phosphate)</v>
      </c>
      <c r="B452" t="s">
        <v>289</v>
      </c>
      <c r="C452" t="s">
        <v>2893</v>
      </c>
      <c r="D452" t="s">
        <v>1192</v>
      </c>
      <c r="E452" t="s">
        <v>3693</v>
      </c>
      <c r="F452" t="s">
        <v>289</v>
      </c>
      <c r="G452" t="s">
        <v>3694</v>
      </c>
      <c r="H452" s="3">
        <v>42251</v>
      </c>
      <c r="I452" s="3">
        <v>42408</v>
      </c>
    </row>
    <row r="453" spans="1:9" x14ac:dyDescent="0.3">
      <c r="A453" s="2" t="str">
        <f>HYPERLINK("https://www.pcpacanada.ca/negotiation/20865", "Janumet  (sitagliptin phosphate)")</f>
        <v>Janumet  (sitagliptin phosphate)</v>
      </c>
      <c r="B453" t="s">
        <v>289</v>
      </c>
      <c r="C453" t="s">
        <v>2893</v>
      </c>
      <c r="D453" t="s">
        <v>1192</v>
      </c>
      <c r="E453" t="s">
        <v>3695</v>
      </c>
      <c r="F453" t="s">
        <v>289</v>
      </c>
      <c r="G453" t="s">
        <v>3696</v>
      </c>
      <c r="H453" s="3">
        <v>42251</v>
      </c>
      <c r="I453" s="3">
        <v>42408</v>
      </c>
    </row>
    <row r="454" spans="1:9" x14ac:dyDescent="0.3">
      <c r="A454" s="2" t="str">
        <f>HYPERLINK("https://www.pcpacanada.ca/negotiation/20864", "Kazano  (alogliptin/metformin)")</f>
        <v>Kazano  (alogliptin/metformin)</v>
      </c>
      <c r="B454" t="s">
        <v>243</v>
      </c>
      <c r="C454" t="s">
        <v>2908</v>
      </c>
      <c r="D454" t="s">
        <v>1192</v>
      </c>
      <c r="E454" t="s">
        <v>3697</v>
      </c>
      <c r="F454" t="s">
        <v>243</v>
      </c>
      <c r="G454" t="s">
        <v>1285</v>
      </c>
      <c r="H454" s="3" t="s">
        <v>2880</v>
      </c>
      <c r="I454" s="3">
        <v>42032</v>
      </c>
    </row>
    <row r="455" spans="1:9" x14ac:dyDescent="0.3">
      <c r="A455" s="2" t="str">
        <f>HYPERLINK("https://www.pcpacanada.ca/negotiation/20863", "Cimzia  (certolizumab pegol)")</f>
        <v>Cimzia  (certolizumab pegol)</v>
      </c>
      <c r="B455" t="s">
        <v>481</v>
      </c>
      <c r="C455" t="s">
        <v>2893</v>
      </c>
      <c r="D455" t="s">
        <v>551</v>
      </c>
      <c r="E455" t="s">
        <v>3698</v>
      </c>
      <c r="F455" t="s">
        <v>481</v>
      </c>
      <c r="G455" t="s">
        <v>552</v>
      </c>
      <c r="H455" s="3">
        <v>42282</v>
      </c>
      <c r="I455" s="3">
        <v>42375</v>
      </c>
    </row>
    <row r="456" spans="1:9" x14ac:dyDescent="0.3">
      <c r="A456" s="2" t="str">
        <f>HYPERLINK("https://www.pcpacanada.ca/negotiation/20862", "Butrans  (buprenorphine)")</f>
        <v>Butrans  (buprenorphine)</v>
      </c>
      <c r="B456" t="s">
        <v>196</v>
      </c>
      <c r="C456" t="s">
        <v>3082</v>
      </c>
      <c r="D456" t="s">
        <v>493</v>
      </c>
      <c r="E456" t="s">
        <v>3699</v>
      </c>
      <c r="F456" t="s">
        <v>196</v>
      </c>
      <c r="G456" t="s">
        <v>2880</v>
      </c>
      <c r="H456" s="3">
        <v>42870</v>
      </c>
      <c r="I456" s="3">
        <v>42965</v>
      </c>
    </row>
    <row r="457" spans="1:9" x14ac:dyDescent="0.3">
      <c r="A457" s="2" t="str">
        <f>HYPERLINK("https://www.pcpacanada.ca/negotiation/20861", "Actemra SC  (tocilizumab)")</f>
        <v>Actemra SC  (tocilizumab)</v>
      </c>
      <c r="B457" t="s">
        <v>3068</v>
      </c>
      <c r="C457" t="s">
        <v>2893</v>
      </c>
      <c r="D457" t="s">
        <v>3142</v>
      </c>
      <c r="E457" t="s">
        <v>3700</v>
      </c>
      <c r="F457" t="s">
        <v>3068</v>
      </c>
      <c r="G457" t="s">
        <v>2880</v>
      </c>
      <c r="H457" s="3">
        <v>42125</v>
      </c>
      <c r="I457" s="3">
        <v>42354</v>
      </c>
    </row>
    <row r="458" spans="1:9" x14ac:dyDescent="0.3">
      <c r="A458" s="2" t="str">
        <f>HYPERLINK("https://www.pcpacanada.ca/negotiation/20860", "Incruse Ellipta  (umeclidinium)")</f>
        <v>Incruse Ellipta  (umeclidinium)</v>
      </c>
      <c r="B458" t="s">
        <v>455</v>
      </c>
      <c r="C458" t="s">
        <v>2893</v>
      </c>
      <c r="D458" t="s">
        <v>2488</v>
      </c>
      <c r="E458" t="s">
        <v>3701</v>
      </c>
      <c r="F458" t="s">
        <v>455</v>
      </c>
      <c r="G458" t="s">
        <v>1144</v>
      </c>
      <c r="H458" s="3">
        <v>42300</v>
      </c>
      <c r="I458" s="3">
        <v>42353</v>
      </c>
    </row>
    <row r="459" spans="1:9" x14ac:dyDescent="0.3">
      <c r="A459" s="2" t="str">
        <f>HYPERLINK("https://www.pcpacanada.ca/negotiation/20859", "Duaklir Genuair  (aclidinium bromide/formoterol fumarate dihydrate)")</f>
        <v>Duaklir Genuair  (aclidinium bromide/formoterol fumarate dihydrate)</v>
      </c>
      <c r="B459" t="s">
        <v>465</v>
      </c>
      <c r="C459" t="s">
        <v>2893</v>
      </c>
      <c r="D459" t="s">
        <v>2488</v>
      </c>
      <c r="E459" t="s">
        <v>3702</v>
      </c>
      <c r="F459" t="s">
        <v>465</v>
      </c>
      <c r="G459" t="s">
        <v>717</v>
      </c>
      <c r="H459" s="3">
        <v>42300</v>
      </c>
      <c r="I459" s="3">
        <v>42353</v>
      </c>
    </row>
    <row r="460" spans="1:9" x14ac:dyDescent="0.3">
      <c r="A460" s="2" t="str">
        <f>HYPERLINK("https://www.pcpacanada.ca/negotiation/20858", "Inflectra  (infliximab)")</f>
        <v>Inflectra  (infliximab)</v>
      </c>
      <c r="B460" t="s">
        <v>1148</v>
      </c>
      <c r="C460" t="s">
        <v>2893</v>
      </c>
      <c r="D460" t="s">
        <v>3703</v>
      </c>
      <c r="E460" t="s">
        <v>3704</v>
      </c>
      <c r="F460" t="s">
        <v>1148</v>
      </c>
      <c r="G460" t="s">
        <v>1147</v>
      </c>
      <c r="H460" s="3">
        <v>42018</v>
      </c>
      <c r="I460" s="3">
        <v>42327</v>
      </c>
    </row>
    <row r="461" spans="1:9" x14ac:dyDescent="0.3">
      <c r="A461" s="2" t="str">
        <f>HYPERLINK("https://www.pcpacanada.ca/negotiation/20857", "Jinarc  (tolvaptan)")</f>
        <v>Jinarc  (tolvaptan)</v>
      </c>
      <c r="B461" t="s">
        <v>3437</v>
      </c>
      <c r="C461" t="s">
        <v>2908</v>
      </c>
      <c r="D461" t="s">
        <v>3705</v>
      </c>
      <c r="E461" t="s">
        <v>3706</v>
      </c>
      <c r="F461" t="s">
        <v>3437</v>
      </c>
      <c r="G461" t="s">
        <v>1239</v>
      </c>
      <c r="H461" s="3" t="s">
        <v>2880</v>
      </c>
      <c r="I461" s="3">
        <v>42531</v>
      </c>
    </row>
    <row r="462" spans="1:9" x14ac:dyDescent="0.3">
      <c r="A462" s="2" t="str">
        <f>HYPERLINK("https://www.pcpacanada.ca/negotiation/20856", "Imbruvica  (ibrutinib)")</f>
        <v>Imbruvica  (ibrutinib)</v>
      </c>
      <c r="B462" t="s">
        <v>665</v>
      </c>
      <c r="C462" t="s">
        <v>2908</v>
      </c>
      <c r="D462" t="s">
        <v>3707</v>
      </c>
      <c r="E462" t="s">
        <v>3708</v>
      </c>
      <c r="F462" t="s">
        <v>665</v>
      </c>
      <c r="G462" t="s">
        <v>3642</v>
      </c>
      <c r="H462" s="3" t="s">
        <v>2880</v>
      </c>
      <c r="I462" s="3">
        <v>42727</v>
      </c>
    </row>
    <row r="463" spans="1:9" x14ac:dyDescent="0.3">
      <c r="A463" s="2" t="str">
        <f>HYPERLINK("https://www.pcpacanada.ca/negotiation/20855", "Darzalex  (daratumumab)")</f>
        <v>Darzalex  (daratumumab)</v>
      </c>
      <c r="B463" t="s">
        <v>665</v>
      </c>
      <c r="C463" t="s">
        <v>2908</v>
      </c>
      <c r="D463" t="s">
        <v>663</v>
      </c>
      <c r="E463" t="s">
        <v>3709</v>
      </c>
      <c r="F463" t="s">
        <v>665</v>
      </c>
      <c r="G463" t="s">
        <v>3710</v>
      </c>
      <c r="H463" s="3" t="s">
        <v>2880</v>
      </c>
      <c r="I463" s="3">
        <v>42727</v>
      </c>
    </row>
    <row r="464" spans="1:9" x14ac:dyDescent="0.3">
      <c r="A464" s="2" t="str">
        <f>HYPERLINK("https://www.pcpacanada.ca/negotiation/20854", "Intuniv XR  (guanfacine hydrochloride)")</f>
        <v>Intuniv XR  (guanfacine hydrochloride)</v>
      </c>
      <c r="B464" t="s">
        <v>2280</v>
      </c>
      <c r="C464" t="s">
        <v>2908</v>
      </c>
      <c r="D464" t="s">
        <v>1182</v>
      </c>
      <c r="E464" t="s">
        <v>3711</v>
      </c>
      <c r="F464" t="s">
        <v>2280</v>
      </c>
      <c r="G464" t="s">
        <v>1183</v>
      </c>
      <c r="H464" s="3" t="s">
        <v>2880</v>
      </c>
      <c r="I464" s="3">
        <v>41961</v>
      </c>
    </row>
    <row r="465" spans="1:9" x14ac:dyDescent="0.3">
      <c r="A465" s="2" t="str">
        <f>HYPERLINK("https://www.pcpacanada.ca/negotiation/20853", "Aptiom  (eslicarbazepine acetate)")</f>
        <v>Aptiom  (eslicarbazepine acetate)</v>
      </c>
      <c r="B465" t="s">
        <v>271</v>
      </c>
      <c r="C465" t="s">
        <v>2893</v>
      </c>
      <c r="D465" t="s">
        <v>269</v>
      </c>
      <c r="E465" t="s">
        <v>3712</v>
      </c>
      <c r="F465" t="s">
        <v>271</v>
      </c>
      <c r="G465" t="s">
        <v>3713</v>
      </c>
      <c r="H465" s="3">
        <v>42170</v>
      </c>
      <c r="I465" s="3">
        <v>42255</v>
      </c>
    </row>
    <row r="466" spans="1:9" x14ac:dyDescent="0.3">
      <c r="A466" s="2" t="str">
        <f>HYPERLINK("https://www.pcpacanada.ca/negotiation/20852", "Simbrinza  (brinzolamide/brimonidine)")</f>
        <v>Simbrinza  (brinzolamide/brimonidine)</v>
      </c>
      <c r="B466" t="s">
        <v>3714</v>
      </c>
      <c r="C466" t="s">
        <v>2893</v>
      </c>
      <c r="D466" t="s">
        <v>3427</v>
      </c>
      <c r="E466" t="s">
        <v>3715</v>
      </c>
      <c r="F466" t="s">
        <v>3714</v>
      </c>
      <c r="G466" t="s">
        <v>2129</v>
      </c>
      <c r="H466" s="3">
        <v>42222</v>
      </c>
      <c r="I466" s="3">
        <v>42243</v>
      </c>
    </row>
    <row r="467" spans="1:9" x14ac:dyDescent="0.3">
      <c r="A467" s="2" t="str">
        <f>HYPERLINK("https://www.pcpacanada.ca/negotiation/20851", "Humira  (adalimumab)")</f>
        <v>Humira  (adalimumab)</v>
      </c>
      <c r="B467" t="s">
        <v>725</v>
      </c>
      <c r="C467" t="s">
        <v>2908</v>
      </c>
      <c r="D467" t="s">
        <v>3716</v>
      </c>
      <c r="E467" t="s">
        <v>3717</v>
      </c>
      <c r="F467" t="s">
        <v>725</v>
      </c>
      <c r="G467" t="s">
        <v>1060</v>
      </c>
      <c r="H467" s="3" t="s">
        <v>2880</v>
      </c>
      <c r="I467" s="3">
        <v>42726</v>
      </c>
    </row>
    <row r="468" spans="1:9" x14ac:dyDescent="0.3">
      <c r="A468" s="2" t="str">
        <f>HYPERLINK("https://www.pcpacanada.ca/negotiation/20850", "Cyramza  (ramucirumab)")</f>
        <v>Cyramza  (ramucirumab)</v>
      </c>
      <c r="B468" t="s">
        <v>133</v>
      </c>
      <c r="C468" t="s">
        <v>2893</v>
      </c>
      <c r="D468" t="s">
        <v>3718</v>
      </c>
      <c r="E468" t="s">
        <v>3719</v>
      </c>
      <c r="F468" t="s">
        <v>133</v>
      </c>
      <c r="G468" t="s">
        <v>3720</v>
      </c>
      <c r="H468" s="3">
        <v>42320</v>
      </c>
      <c r="I468" s="3">
        <v>42670</v>
      </c>
    </row>
    <row r="469" spans="1:9" x14ac:dyDescent="0.3">
      <c r="A469" s="2" t="str">
        <f>HYPERLINK("https://www.pcpacanada.ca/negotiation/20849", "Eliquis  (apixaban)")</f>
        <v>Eliquis  (apixaban)</v>
      </c>
      <c r="B469" t="s">
        <v>658</v>
      </c>
      <c r="C469" t="s">
        <v>2893</v>
      </c>
      <c r="D469" t="s">
        <v>3721</v>
      </c>
      <c r="E469" t="s">
        <v>3722</v>
      </c>
      <c r="F469" t="s">
        <v>658</v>
      </c>
      <c r="G469" t="s">
        <v>779</v>
      </c>
      <c r="H469" s="3">
        <v>42166</v>
      </c>
      <c r="I469" s="3">
        <v>42194</v>
      </c>
    </row>
    <row r="470" spans="1:9" x14ac:dyDescent="0.3">
      <c r="A470" s="2" t="str">
        <f>HYPERLINK("https://www.pcpacanada.ca/negotiation/20848", "Holkira Pak  (ombitasvir/paritaprevir/ritonavir/dasabuvir)")</f>
        <v>Holkira Pak  (ombitasvir/paritaprevir/ritonavir/dasabuvir)</v>
      </c>
      <c r="B470" t="s">
        <v>725</v>
      </c>
      <c r="C470" t="s">
        <v>2893</v>
      </c>
      <c r="D470" t="s">
        <v>3325</v>
      </c>
      <c r="E470" t="s">
        <v>3723</v>
      </c>
      <c r="F470" t="s">
        <v>725</v>
      </c>
      <c r="G470" t="s">
        <v>1040</v>
      </c>
      <c r="H470" s="3">
        <v>42121</v>
      </c>
      <c r="I470" s="3">
        <v>42171</v>
      </c>
    </row>
    <row r="471" spans="1:9" x14ac:dyDescent="0.3">
      <c r="A471" s="2" t="str">
        <f>HYPERLINK("https://www.pcpacanada.ca/negotiation/20847", "Abilify Maintena  (aripiprazole)")</f>
        <v>Abilify Maintena  (aripiprazole)</v>
      </c>
      <c r="B471" t="s">
        <v>3437</v>
      </c>
      <c r="C471" t="s">
        <v>2893</v>
      </c>
      <c r="D471" t="s">
        <v>38</v>
      </c>
      <c r="E471" t="s">
        <v>3724</v>
      </c>
      <c r="F471" t="s">
        <v>3437</v>
      </c>
      <c r="G471" t="s">
        <v>51</v>
      </c>
      <c r="H471" s="3">
        <v>42033</v>
      </c>
      <c r="I471" s="3">
        <v>42169</v>
      </c>
    </row>
    <row r="472" spans="1:9" x14ac:dyDescent="0.3">
      <c r="A472" s="2" t="str">
        <f>HYPERLINK("https://www.pcpacanada.ca/negotiation/20846", "Grastek  (phleum pratense)")</f>
        <v>Grastek  (phleum pratense)</v>
      </c>
      <c r="B472" t="s">
        <v>289</v>
      </c>
      <c r="C472" t="s">
        <v>2908</v>
      </c>
      <c r="D472" t="s">
        <v>3725</v>
      </c>
      <c r="E472" t="s">
        <v>3726</v>
      </c>
      <c r="F472" t="s">
        <v>289</v>
      </c>
      <c r="G472" t="s">
        <v>3727</v>
      </c>
      <c r="H472" s="3" t="s">
        <v>2880</v>
      </c>
      <c r="I472" s="3">
        <v>41942</v>
      </c>
    </row>
    <row r="473" spans="1:9" x14ac:dyDescent="0.3">
      <c r="A473" s="2" t="str">
        <f>HYPERLINK("https://www.pcpacanada.ca/negotiation/20845", "Yondelis  (trabectedin)")</f>
        <v>Yondelis  (trabectedin)</v>
      </c>
      <c r="B473" t="s">
        <v>665</v>
      </c>
      <c r="C473" t="s">
        <v>2908</v>
      </c>
      <c r="D473" t="s">
        <v>2784</v>
      </c>
      <c r="E473" t="s">
        <v>3728</v>
      </c>
      <c r="F473" t="s">
        <v>665</v>
      </c>
      <c r="G473" t="s">
        <v>3729</v>
      </c>
      <c r="H473" s="3" t="s">
        <v>2880</v>
      </c>
      <c r="I473" s="3">
        <v>42657</v>
      </c>
    </row>
    <row r="474" spans="1:9" x14ac:dyDescent="0.3">
      <c r="A474" s="2" t="str">
        <f>HYPERLINK("https://www.pcpacanada.ca/negotiation/20844", "Fentora  (fentanyl buccal)")</f>
        <v>Fentora  (fentanyl buccal)</v>
      </c>
      <c r="B474" t="s">
        <v>3093</v>
      </c>
      <c r="C474" t="s">
        <v>2908</v>
      </c>
      <c r="D474" t="s">
        <v>899</v>
      </c>
      <c r="E474" t="s">
        <v>3730</v>
      </c>
      <c r="F474" t="s">
        <v>3093</v>
      </c>
      <c r="G474" t="s">
        <v>900</v>
      </c>
      <c r="H474" s="3" t="s">
        <v>2880</v>
      </c>
      <c r="I474" s="3">
        <v>42825</v>
      </c>
    </row>
    <row r="475" spans="1:9" x14ac:dyDescent="0.3">
      <c r="A475" s="2" t="str">
        <f>HYPERLINK("https://www.pcpacanada.ca/negotiation/20843", "Fampyra  (fampridine)")</f>
        <v>Fampyra  (fampridine)</v>
      </c>
      <c r="B475" t="s">
        <v>1874</v>
      </c>
      <c r="C475" t="s">
        <v>2908</v>
      </c>
      <c r="D475" t="s">
        <v>3731</v>
      </c>
      <c r="E475" t="s">
        <v>3732</v>
      </c>
      <c r="F475" t="s">
        <v>1874</v>
      </c>
      <c r="G475" t="s">
        <v>3733</v>
      </c>
      <c r="H475" s="3" t="s">
        <v>2880</v>
      </c>
      <c r="I475" s="3">
        <v>41670</v>
      </c>
    </row>
    <row r="476" spans="1:9" x14ac:dyDescent="0.3">
      <c r="A476" s="2" t="str">
        <f>HYPERLINK("https://www.pcpacanada.ca/negotiation/20842", "Sylvant  (siltuximab)")</f>
        <v>Sylvant  (siltuximab)</v>
      </c>
      <c r="B476" t="s">
        <v>665</v>
      </c>
      <c r="C476" t="s">
        <v>2893</v>
      </c>
      <c r="D476" t="s">
        <v>3734</v>
      </c>
      <c r="E476" t="s">
        <v>3735</v>
      </c>
      <c r="F476" t="s">
        <v>665</v>
      </c>
      <c r="G476" t="s">
        <v>3736</v>
      </c>
      <c r="H476" s="3">
        <v>42224</v>
      </c>
      <c r="I476" s="3">
        <v>42643</v>
      </c>
    </row>
    <row r="477" spans="1:9" x14ac:dyDescent="0.3">
      <c r="A477" s="2" t="str">
        <f>HYPERLINK("https://www.pcpacanada.ca/negotiation/20841", "Anoro Ellipta  (umeclidinium/vilanterol)")</f>
        <v>Anoro Ellipta  (umeclidinium/vilanterol)</v>
      </c>
      <c r="B477" t="s">
        <v>455</v>
      </c>
      <c r="C477" t="s">
        <v>2893</v>
      </c>
      <c r="D477" t="s">
        <v>2488</v>
      </c>
      <c r="E477" t="s">
        <v>3737</v>
      </c>
      <c r="F477" t="s">
        <v>455</v>
      </c>
      <c r="G477" t="s">
        <v>258</v>
      </c>
      <c r="H477" s="3">
        <v>42039</v>
      </c>
      <c r="I477" s="3">
        <v>42125</v>
      </c>
    </row>
    <row r="478" spans="1:9" x14ac:dyDescent="0.3">
      <c r="A478" s="2" t="str">
        <f>HYPERLINK("https://www.pcpacanada.ca/negotiation/20840", "Revlimid  (lenalidomide)")</f>
        <v>Revlimid  (lenalidomide)</v>
      </c>
      <c r="B478" t="s">
        <v>61</v>
      </c>
      <c r="C478" t="s">
        <v>2893</v>
      </c>
      <c r="D478" t="s">
        <v>3229</v>
      </c>
      <c r="E478" t="s">
        <v>3738</v>
      </c>
      <c r="F478" t="s">
        <v>61</v>
      </c>
      <c r="G478" t="s">
        <v>3739</v>
      </c>
      <c r="H478" s="3">
        <v>42348</v>
      </c>
      <c r="I478" s="3">
        <v>42627</v>
      </c>
    </row>
    <row r="479" spans="1:9" x14ac:dyDescent="0.3">
      <c r="A479" s="2" t="str">
        <f>HYPERLINK("https://www.pcpacanada.ca/negotiation/20839", "Rebif  (interferon beta-1a)")</f>
        <v>Rebif  (interferon beta-1a)</v>
      </c>
      <c r="B479" t="s">
        <v>2976</v>
      </c>
      <c r="C479" t="s">
        <v>2893</v>
      </c>
      <c r="D479" t="s">
        <v>3489</v>
      </c>
      <c r="E479" t="s">
        <v>3740</v>
      </c>
      <c r="F479" t="s">
        <v>2976</v>
      </c>
      <c r="G479" t="s">
        <v>3741</v>
      </c>
      <c r="H479" s="3">
        <v>41558</v>
      </c>
      <c r="I479" s="3">
        <v>42115</v>
      </c>
    </row>
    <row r="480" spans="1:9" x14ac:dyDescent="0.3">
      <c r="A480" s="2" t="str">
        <f>HYPERLINK("https://www.pcpacanada.ca/negotiation/20838", "Ultibro Breezhaler  (indacaterol/glycopyrronium)")</f>
        <v>Ultibro Breezhaler  (indacaterol/glycopyrronium)</v>
      </c>
      <c r="B480" t="s">
        <v>71</v>
      </c>
      <c r="C480" t="s">
        <v>2893</v>
      </c>
      <c r="D480" t="s">
        <v>2488</v>
      </c>
      <c r="E480" t="s">
        <v>3742</v>
      </c>
      <c r="F480" t="s">
        <v>71</v>
      </c>
      <c r="G480" t="s">
        <v>2511</v>
      </c>
      <c r="H480" s="3">
        <v>42030</v>
      </c>
      <c r="I480" s="3">
        <v>42114</v>
      </c>
    </row>
    <row r="481" spans="1:9" x14ac:dyDescent="0.3">
      <c r="A481" s="2" t="str">
        <f>HYPERLINK("https://www.pcpacanada.ca/negotiation/20837", "Myrbetriq  (mirabegron)")</f>
        <v>Myrbetriq  (mirabegron)</v>
      </c>
      <c r="B481" t="s">
        <v>3062</v>
      </c>
      <c r="C481" t="s">
        <v>2893</v>
      </c>
      <c r="D481" t="s">
        <v>3743</v>
      </c>
      <c r="E481" t="s">
        <v>3744</v>
      </c>
      <c r="F481" t="s">
        <v>3062</v>
      </c>
      <c r="G481" t="s">
        <v>3745</v>
      </c>
      <c r="H481" s="3">
        <v>42018</v>
      </c>
      <c r="I481" s="3">
        <v>42102</v>
      </c>
    </row>
    <row r="482" spans="1:9" x14ac:dyDescent="0.3">
      <c r="A482" s="2" t="str">
        <f>HYPERLINK("https://www.pcpacanada.ca/negotiation/20836", "Tivicay  (dolutegravir)")</f>
        <v>Tivicay  (dolutegravir)</v>
      </c>
      <c r="B482" t="s">
        <v>715</v>
      </c>
      <c r="C482" t="s">
        <v>2893</v>
      </c>
      <c r="D482" t="s">
        <v>1909</v>
      </c>
      <c r="E482" t="s">
        <v>3746</v>
      </c>
      <c r="F482" t="s">
        <v>715</v>
      </c>
      <c r="G482" t="s">
        <v>3747</v>
      </c>
      <c r="H482" s="3">
        <v>41940</v>
      </c>
      <c r="I482" s="3">
        <v>42102</v>
      </c>
    </row>
    <row r="483" spans="1:9" x14ac:dyDescent="0.3">
      <c r="A483" s="2" t="str">
        <f>HYPERLINK("https://www.pcpacanada.ca/negotiation/20835", "Inspra  (eplerenone)")</f>
        <v>Inspra  (eplerenone)</v>
      </c>
      <c r="B483" t="s">
        <v>445</v>
      </c>
      <c r="C483" t="s">
        <v>2893</v>
      </c>
      <c r="D483" t="s">
        <v>1171</v>
      </c>
      <c r="E483" t="s">
        <v>3748</v>
      </c>
      <c r="F483" t="s">
        <v>445</v>
      </c>
      <c r="G483" t="s">
        <v>3749</v>
      </c>
      <c r="H483" s="3">
        <v>41768</v>
      </c>
      <c r="I483" s="3">
        <v>42094</v>
      </c>
    </row>
    <row r="484" spans="1:9" x14ac:dyDescent="0.3">
      <c r="A484" s="2" t="str">
        <f>HYPERLINK("https://www.pcpacanada.ca/negotiation/20834", "Iclusig  (ponatinib)")</f>
        <v>Iclusig  (ponatinib)</v>
      </c>
      <c r="B484" t="s">
        <v>67</v>
      </c>
      <c r="C484" t="s">
        <v>2893</v>
      </c>
      <c r="D484" t="s">
        <v>3750</v>
      </c>
      <c r="E484" t="s">
        <v>3751</v>
      </c>
      <c r="F484" t="s">
        <v>67</v>
      </c>
      <c r="G484" t="s">
        <v>3752</v>
      </c>
      <c r="H484" s="3">
        <v>42305</v>
      </c>
      <c r="I484" s="3">
        <v>42555</v>
      </c>
    </row>
    <row r="485" spans="1:9" x14ac:dyDescent="0.3">
      <c r="A485" s="2" t="str">
        <f>HYPERLINK("https://www.pcpacanada.ca/negotiation/20833", "Sovaldi  (sofosbuvir)")</f>
        <v>Sovaldi  (sofosbuvir)</v>
      </c>
      <c r="B485" t="s">
        <v>539</v>
      </c>
      <c r="C485" t="s">
        <v>2893</v>
      </c>
      <c r="D485" t="s">
        <v>3325</v>
      </c>
      <c r="E485" t="s">
        <v>3753</v>
      </c>
      <c r="F485" t="s">
        <v>539</v>
      </c>
      <c r="G485" t="s">
        <v>3754</v>
      </c>
      <c r="H485" s="3">
        <v>41884</v>
      </c>
      <c r="I485" s="3">
        <v>42040</v>
      </c>
    </row>
    <row r="486" spans="1:9" x14ac:dyDescent="0.3">
      <c r="A486" s="2" t="str">
        <f>HYPERLINK("https://www.pcpacanada.ca/negotiation/20832", "Breo Ellipta  (fluticasone furoate/vilanterol)")</f>
        <v>Breo Ellipta  (fluticasone furoate/vilanterol)</v>
      </c>
      <c r="B486" t="s">
        <v>455</v>
      </c>
      <c r="C486" t="s">
        <v>2893</v>
      </c>
      <c r="D486" t="s">
        <v>2488</v>
      </c>
      <c r="E486" t="s">
        <v>3755</v>
      </c>
      <c r="F486" t="s">
        <v>455</v>
      </c>
      <c r="G486" t="s">
        <v>3756</v>
      </c>
      <c r="H486" s="3">
        <v>41918</v>
      </c>
      <c r="I486" s="3">
        <v>42038</v>
      </c>
    </row>
    <row r="487" spans="1:9" x14ac:dyDescent="0.3">
      <c r="A487" s="2" t="str">
        <f>HYPERLINK("https://www.pcpacanada.ca/negotiation/20831", "Egrifta  (tesamorelin)")</f>
        <v>Egrifta  (tesamorelin)</v>
      </c>
      <c r="B487" t="s">
        <v>770</v>
      </c>
      <c r="C487" t="s">
        <v>2908</v>
      </c>
      <c r="D487" t="s">
        <v>768</v>
      </c>
      <c r="E487" t="s">
        <v>3757</v>
      </c>
      <c r="F487" t="s">
        <v>770</v>
      </c>
      <c r="G487" t="s">
        <v>769</v>
      </c>
      <c r="H487" s="3" t="s">
        <v>2880</v>
      </c>
      <c r="I487" s="3">
        <v>42657</v>
      </c>
    </row>
    <row r="488" spans="1:9" x14ac:dyDescent="0.3">
      <c r="A488" s="2" t="str">
        <f>HYPERLINK("https://www.pcpacanada.ca/negotiation/20830", "Edarbyclor  (azilsartan medoxomil/chlorthalidone)")</f>
        <v>Edarbyclor  (azilsartan medoxomil/chlorthalidone)</v>
      </c>
      <c r="B488" t="s">
        <v>243</v>
      </c>
      <c r="C488" t="s">
        <v>2908</v>
      </c>
      <c r="D488" t="s">
        <v>231</v>
      </c>
      <c r="E488" t="s">
        <v>3758</v>
      </c>
      <c r="F488" t="s">
        <v>243</v>
      </c>
      <c r="G488" t="s">
        <v>3759</v>
      </c>
      <c r="H488" s="3" t="s">
        <v>2880</v>
      </c>
      <c r="I488" s="3">
        <v>41590</v>
      </c>
    </row>
    <row r="489" spans="1:9" x14ac:dyDescent="0.3">
      <c r="A489" s="2" t="str">
        <f>HYPERLINK("https://www.pcpacanada.ca/negotiation/20829", "Zydelig  (idelalisib)")</f>
        <v>Zydelig  (idelalisib)</v>
      </c>
      <c r="B489" t="s">
        <v>539</v>
      </c>
      <c r="C489" t="s">
        <v>2893</v>
      </c>
      <c r="D489" t="s">
        <v>2987</v>
      </c>
      <c r="E489" t="s">
        <v>3760</v>
      </c>
      <c r="F489" t="s">
        <v>539</v>
      </c>
      <c r="G489" t="s">
        <v>3761</v>
      </c>
      <c r="H489" s="3">
        <v>42271</v>
      </c>
      <c r="I489" s="3">
        <v>42524</v>
      </c>
    </row>
    <row r="490" spans="1:9" x14ac:dyDescent="0.3">
      <c r="A490" s="2" t="str">
        <f>HYPERLINK("https://www.pcpacanada.ca/negotiation/20828", "Edarbi  (azilsartan medoxomil)")</f>
        <v>Edarbi  (azilsartan medoxomil)</v>
      </c>
      <c r="B490" t="s">
        <v>243</v>
      </c>
      <c r="C490" t="s">
        <v>2908</v>
      </c>
      <c r="D490" t="s">
        <v>231</v>
      </c>
      <c r="E490" t="s">
        <v>3762</v>
      </c>
      <c r="F490" t="s">
        <v>243</v>
      </c>
      <c r="G490" t="s">
        <v>2880</v>
      </c>
      <c r="H490" s="3" t="s">
        <v>2880</v>
      </c>
      <c r="I490" s="3">
        <v>41590</v>
      </c>
    </row>
    <row r="491" spans="1:9" x14ac:dyDescent="0.3">
      <c r="A491" s="2" t="str">
        <f>HYPERLINK("https://www.pcpacanada.ca/negotiation/20827", "Dymista  (azelastine/fluticasone propionate)")</f>
        <v>Dymista  (azelastine/fluticasone propionate)</v>
      </c>
      <c r="B491" t="s">
        <v>3763</v>
      </c>
      <c r="C491" t="s">
        <v>2908</v>
      </c>
      <c r="D491" t="s">
        <v>740</v>
      </c>
      <c r="E491" t="s">
        <v>3764</v>
      </c>
      <c r="F491" t="s">
        <v>3763</v>
      </c>
      <c r="G491" t="s">
        <v>741</v>
      </c>
      <c r="H491" s="3" t="s">
        <v>2880</v>
      </c>
      <c r="I491" s="3">
        <v>42209</v>
      </c>
    </row>
    <row r="492" spans="1:9" x14ac:dyDescent="0.3">
      <c r="A492" s="2" t="str">
        <f>HYPERLINK("https://www.pcpacanada.ca/negotiation/20826", "Tafinlar/Mekinist  (dabrafenib/trametinib)")</f>
        <v>Tafinlar/Mekinist  (dabrafenib/trametinib)</v>
      </c>
      <c r="B492" t="s">
        <v>71</v>
      </c>
      <c r="C492" t="s">
        <v>2893</v>
      </c>
      <c r="D492" t="s">
        <v>1313</v>
      </c>
      <c r="E492" t="s">
        <v>3765</v>
      </c>
      <c r="F492" t="s">
        <v>71</v>
      </c>
      <c r="G492" t="s">
        <v>2880</v>
      </c>
      <c r="H492" s="3">
        <v>42265</v>
      </c>
      <c r="I492" s="3">
        <v>42515</v>
      </c>
    </row>
    <row r="493" spans="1:9" x14ac:dyDescent="0.3">
      <c r="A493" s="2" t="str">
        <f>HYPERLINK("https://www.pcpacanada.ca/negotiation/20825", "Cortiment  (budesonide)")</f>
        <v>Cortiment  (budesonide)</v>
      </c>
      <c r="B493" t="s">
        <v>3766</v>
      </c>
      <c r="C493" t="s">
        <v>2908</v>
      </c>
      <c r="D493" t="s">
        <v>599</v>
      </c>
      <c r="E493" t="s">
        <v>3767</v>
      </c>
      <c r="F493" t="s">
        <v>3766</v>
      </c>
      <c r="G493" t="s">
        <v>600</v>
      </c>
      <c r="H493" s="3" t="s">
        <v>2880</v>
      </c>
      <c r="I493" s="3">
        <v>42832</v>
      </c>
    </row>
    <row r="494" spans="1:9" x14ac:dyDescent="0.3">
      <c r="A494" s="2" t="str">
        <f>HYPERLINK("https://www.pcpacanada.ca/negotiation/20824", "Jetrea  (ocriplasmin)")</f>
        <v>Jetrea  (ocriplasmin)</v>
      </c>
      <c r="B494" t="s">
        <v>3714</v>
      </c>
      <c r="C494" t="s">
        <v>2893</v>
      </c>
      <c r="D494" t="s">
        <v>3768</v>
      </c>
      <c r="E494" t="s">
        <v>3769</v>
      </c>
      <c r="F494" t="s">
        <v>3714</v>
      </c>
      <c r="G494" t="s">
        <v>3770</v>
      </c>
      <c r="H494" s="3">
        <v>41702</v>
      </c>
      <c r="I494" s="3">
        <v>41922</v>
      </c>
    </row>
    <row r="495" spans="1:9" x14ac:dyDescent="0.3">
      <c r="A495" s="2" t="str">
        <f>HYPERLINK("https://www.pcpacanada.ca/negotiation/20823", "Constella  (linaclotide)")</f>
        <v>Constella  (linaclotide)</v>
      </c>
      <c r="B495" t="s">
        <v>3771</v>
      </c>
      <c r="C495" t="s">
        <v>2908</v>
      </c>
      <c r="D495" t="s">
        <v>587</v>
      </c>
      <c r="E495" t="s">
        <v>3772</v>
      </c>
      <c r="F495" t="s">
        <v>3771</v>
      </c>
      <c r="G495" t="s">
        <v>588</v>
      </c>
      <c r="H495" s="3" t="s">
        <v>2880</v>
      </c>
      <c r="I495" s="3">
        <v>42310</v>
      </c>
    </row>
    <row r="496" spans="1:9" x14ac:dyDescent="0.3">
      <c r="A496" s="2" t="str">
        <f>HYPERLINK("https://www.pcpacanada.ca/negotiation/20822", "Xarelto  (rivaroxaban)")</f>
        <v>Xarelto  (rivaroxaban)</v>
      </c>
      <c r="B496" t="s">
        <v>146</v>
      </c>
      <c r="C496" t="s">
        <v>2893</v>
      </c>
      <c r="D496" t="s">
        <v>3773</v>
      </c>
      <c r="E496" t="s">
        <v>3774</v>
      </c>
      <c r="F496" t="s">
        <v>146</v>
      </c>
      <c r="G496" t="s">
        <v>3775</v>
      </c>
      <c r="H496" s="3">
        <v>41787</v>
      </c>
      <c r="I496" s="3">
        <v>41849</v>
      </c>
    </row>
    <row r="497" spans="1:9" x14ac:dyDescent="0.3">
      <c r="A497" s="2" t="str">
        <f>HYPERLINK("https://www.pcpacanada.ca/negotiation/20821", "Keytruda  (pembrolizumab)")</f>
        <v>Keytruda  (pembrolizumab)</v>
      </c>
      <c r="B497" t="s">
        <v>289</v>
      </c>
      <c r="C497" t="s">
        <v>2893</v>
      </c>
      <c r="D497" t="s">
        <v>1313</v>
      </c>
      <c r="E497" t="s">
        <v>3776</v>
      </c>
      <c r="F497" t="s">
        <v>289</v>
      </c>
      <c r="G497" t="s">
        <v>3777</v>
      </c>
      <c r="H497" s="3">
        <v>42346</v>
      </c>
      <c r="I497" s="3">
        <v>42410</v>
      </c>
    </row>
    <row r="498" spans="1:9" x14ac:dyDescent="0.3">
      <c r="A498" s="2" t="str">
        <f>HYPERLINK("https://www.pcpacanada.ca/negotiation/20820", "Zykadia  (ceritinib)")</f>
        <v>Zykadia  (ceritinib)</v>
      </c>
      <c r="B498" t="s">
        <v>71</v>
      </c>
      <c r="C498" t="s">
        <v>2908</v>
      </c>
      <c r="D498" t="s">
        <v>3778</v>
      </c>
      <c r="E498" t="s">
        <v>3779</v>
      </c>
      <c r="F498" t="s">
        <v>71</v>
      </c>
      <c r="G498" t="s">
        <v>3780</v>
      </c>
      <c r="H498" s="3" t="s">
        <v>2880</v>
      </c>
      <c r="I498" s="3">
        <v>42405</v>
      </c>
    </row>
    <row r="499" spans="1:9" x14ac:dyDescent="0.3">
      <c r="A499" s="2" t="str">
        <f>HYPERLINK("https://www.pcpacanada.ca/negotiation/20819", "Bosulif  (bosutinib)")</f>
        <v>Bosulif  (bosutinib)</v>
      </c>
      <c r="B499" t="s">
        <v>445</v>
      </c>
      <c r="C499" t="s">
        <v>2893</v>
      </c>
      <c r="D499" t="s">
        <v>423</v>
      </c>
      <c r="E499" t="s">
        <v>3781</v>
      </c>
      <c r="F499" t="s">
        <v>445</v>
      </c>
      <c r="G499" t="s">
        <v>3782</v>
      </c>
      <c r="H499" s="3" t="s">
        <v>2880</v>
      </c>
      <c r="I499" s="3">
        <v>42317</v>
      </c>
    </row>
    <row r="500" spans="1:9" x14ac:dyDescent="0.3">
      <c r="A500" s="2" t="str">
        <f>HYPERLINK("https://www.pcpacanada.ca/negotiation/20818", "Bystolic  (nebivolol)")</f>
        <v>Bystolic  (nebivolol)</v>
      </c>
      <c r="B500" t="s">
        <v>434</v>
      </c>
      <c r="C500" t="s">
        <v>2908</v>
      </c>
      <c r="D500" t="s">
        <v>231</v>
      </c>
      <c r="E500" t="s">
        <v>3783</v>
      </c>
      <c r="F500" t="s">
        <v>434</v>
      </c>
      <c r="G500" t="s">
        <v>3784</v>
      </c>
      <c r="H500" s="3" t="s">
        <v>2880</v>
      </c>
      <c r="I500" s="3">
        <v>41508</v>
      </c>
    </row>
    <row r="501" spans="1:9" x14ac:dyDescent="0.3">
      <c r="A501" s="2" t="str">
        <f>HYPERLINK("https://www.pcpacanada.ca/negotiation/20817", "Avastin  (bevacizumab)")</f>
        <v>Avastin  (bevacizumab)</v>
      </c>
      <c r="B501" t="s">
        <v>3068</v>
      </c>
      <c r="C501" t="s">
        <v>2893</v>
      </c>
      <c r="D501" t="s">
        <v>308</v>
      </c>
      <c r="E501" t="s">
        <v>3785</v>
      </c>
      <c r="F501" t="s">
        <v>3068</v>
      </c>
      <c r="G501" t="s">
        <v>3786</v>
      </c>
      <c r="H501" s="3">
        <v>42124</v>
      </c>
      <c r="I501" s="3">
        <v>42312</v>
      </c>
    </row>
    <row r="502" spans="1:9" x14ac:dyDescent="0.3">
      <c r="A502" s="2" t="str">
        <f>HYPERLINK("https://www.pcpacanada.ca/negotiation/20816", "Xalkori  (crizotinib)")</f>
        <v>Xalkori  (crizotinib)</v>
      </c>
      <c r="B502" t="s">
        <v>445</v>
      </c>
      <c r="C502" t="s">
        <v>2893</v>
      </c>
      <c r="D502" t="s">
        <v>3346</v>
      </c>
      <c r="E502" t="s">
        <v>3787</v>
      </c>
      <c r="F502" t="s">
        <v>445</v>
      </c>
      <c r="G502" t="s">
        <v>3788</v>
      </c>
      <c r="H502" s="3">
        <v>42202</v>
      </c>
      <c r="I502" s="3">
        <v>42285</v>
      </c>
    </row>
    <row r="503" spans="1:9" x14ac:dyDescent="0.3">
      <c r="A503" s="2" t="str">
        <f>HYPERLINK("https://www.pcpacanada.ca/negotiation/20815", "Istodax  (romidepsin)")</f>
        <v>Istodax  (romidepsin)</v>
      </c>
      <c r="B503" t="s">
        <v>61</v>
      </c>
      <c r="C503" t="s">
        <v>2893</v>
      </c>
      <c r="D503" t="s">
        <v>1204</v>
      </c>
      <c r="E503" t="s">
        <v>3789</v>
      </c>
      <c r="F503" t="s">
        <v>61</v>
      </c>
      <c r="G503" t="s">
        <v>3790</v>
      </c>
      <c r="H503" s="3">
        <v>42157</v>
      </c>
      <c r="I503" s="3">
        <v>42263</v>
      </c>
    </row>
    <row r="504" spans="1:9" x14ac:dyDescent="0.3">
      <c r="A504" s="2" t="str">
        <f>HYPERLINK("https://www.pcpacanada.ca/negotiation/20814", "Perjeta (Perjeta/Herceptin)  (pertuzumab)")</f>
        <v>Perjeta (Perjeta/Herceptin)  (pertuzumab)</v>
      </c>
      <c r="B504" t="s">
        <v>3068</v>
      </c>
      <c r="C504" t="s">
        <v>2908</v>
      </c>
      <c r="D504" t="s">
        <v>1849</v>
      </c>
      <c r="E504" t="s">
        <v>3791</v>
      </c>
      <c r="F504" t="s">
        <v>3068</v>
      </c>
      <c r="G504" t="s">
        <v>2880</v>
      </c>
      <c r="H504" s="3" t="s">
        <v>2880</v>
      </c>
      <c r="I504" s="3">
        <v>42214</v>
      </c>
    </row>
    <row r="505" spans="1:9" x14ac:dyDescent="0.3">
      <c r="A505" s="2" t="str">
        <f>HYPERLINK("https://www.pcpacanada.ca/negotiation/20813", "Apprilon  (doxycycline monohydrate)")</f>
        <v>Apprilon  (doxycycline monohydrate)</v>
      </c>
      <c r="B505" t="s">
        <v>267</v>
      </c>
      <c r="C505" t="s">
        <v>2908</v>
      </c>
      <c r="D505" t="s">
        <v>265</v>
      </c>
      <c r="E505" t="s">
        <v>3792</v>
      </c>
      <c r="F505" t="s">
        <v>267</v>
      </c>
      <c r="G505" t="s">
        <v>3793</v>
      </c>
      <c r="H505" s="3" t="s">
        <v>2880</v>
      </c>
      <c r="I505" s="3">
        <v>41625</v>
      </c>
    </row>
    <row r="506" spans="1:9" x14ac:dyDescent="0.3">
      <c r="A506" s="2" t="str">
        <f>HYPERLINK("https://www.pcpacanada.ca/negotiation/20812", "Nexavar  (sorafenib)")</f>
        <v>Nexavar  (sorafenib)</v>
      </c>
      <c r="B506" t="s">
        <v>146</v>
      </c>
      <c r="C506" t="s">
        <v>2908</v>
      </c>
      <c r="D506" t="s">
        <v>3794</v>
      </c>
      <c r="E506" t="s">
        <v>3795</v>
      </c>
      <c r="F506" t="s">
        <v>146</v>
      </c>
      <c r="G506" t="s">
        <v>2880</v>
      </c>
      <c r="H506" s="3" t="s">
        <v>2880</v>
      </c>
      <c r="I506" s="3">
        <v>42214</v>
      </c>
    </row>
    <row r="507" spans="1:9" x14ac:dyDescent="0.3">
      <c r="A507" s="2" t="str">
        <f>HYPERLINK("https://www.pcpacanada.ca/negotiation/20811", "Aloxi IV  (palonosetron hydrochloride)")</f>
        <v>Aloxi IV  (palonosetron hydrochloride)</v>
      </c>
      <c r="B507" t="s">
        <v>224</v>
      </c>
      <c r="C507" t="s">
        <v>2908</v>
      </c>
      <c r="D507" t="s">
        <v>194</v>
      </c>
      <c r="E507" t="s">
        <v>3796</v>
      </c>
      <c r="F507" t="s">
        <v>224</v>
      </c>
      <c r="G507" t="s">
        <v>2880</v>
      </c>
      <c r="H507" s="3" t="s">
        <v>2880</v>
      </c>
      <c r="I507" s="3">
        <v>41507</v>
      </c>
    </row>
    <row r="508" spans="1:9" x14ac:dyDescent="0.3">
      <c r="A508" s="2" t="str">
        <f>HYPERLINK("https://www.pcpacanada.ca/negotiation/20810", "Aloxi  (palonosetron hydrochloride)")</f>
        <v>Aloxi  (palonosetron hydrochloride)</v>
      </c>
      <c r="B508" t="s">
        <v>224</v>
      </c>
      <c r="C508" t="s">
        <v>2908</v>
      </c>
      <c r="D508" t="s">
        <v>194</v>
      </c>
      <c r="E508" t="s">
        <v>3797</v>
      </c>
      <c r="F508" t="s">
        <v>224</v>
      </c>
      <c r="G508" t="s">
        <v>2880</v>
      </c>
      <c r="H508" s="3" t="s">
        <v>2880</v>
      </c>
      <c r="I508" s="3">
        <v>41507</v>
      </c>
    </row>
    <row r="509" spans="1:9" x14ac:dyDescent="0.3">
      <c r="A509" s="2" t="str">
        <f>HYPERLINK("https://www.pcpacanada.ca/negotiation/20809", "Xtandi  (enzalutamide)")</f>
        <v>Xtandi  (enzalutamide)</v>
      </c>
      <c r="B509" t="s">
        <v>3062</v>
      </c>
      <c r="C509" t="s">
        <v>2893</v>
      </c>
      <c r="D509" t="s">
        <v>2755</v>
      </c>
      <c r="E509" t="s">
        <v>3798</v>
      </c>
      <c r="F509" t="s">
        <v>3062</v>
      </c>
      <c r="G509" t="s">
        <v>3799</v>
      </c>
      <c r="H509" s="3">
        <v>42179</v>
      </c>
      <c r="I509" s="3">
        <v>42207</v>
      </c>
    </row>
    <row r="510" spans="1:9" x14ac:dyDescent="0.3">
      <c r="A510" s="2" t="str">
        <f>HYPERLINK("https://www.pcpacanada.ca/negotiation/20808", "Afinitor  (everolimus)")</f>
        <v>Afinitor  (everolimus)</v>
      </c>
      <c r="B510" t="s">
        <v>71</v>
      </c>
      <c r="C510" t="s">
        <v>2908</v>
      </c>
      <c r="D510" t="s">
        <v>172</v>
      </c>
      <c r="E510" t="s">
        <v>3800</v>
      </c>
      <c r="F510" t="s">
        <v>71</v>
      </c>
      <c r="G510" t="s">
        <v>173</v>
      </c>
      <c r="H510" s="3" t="s">
        <v>2880</v>
      </c>
      <c r="I510" s="3">
        <v>42185</v>
      </c>
    </row>
    <row r="511" spans="1:9" x14ac:dyDescent="0.3">
      <c r="A511" s="2" t="str">
        <f>HYPERLINK("https://www.pcpacanada.ca/negotiation/20807", "Imbruvica  (ibrutinib)")</f>
        <v>Imbruvica  (ibrutinib)</v>
      </c>
      <c r="B511" t="s">
        <v>665</v>
      </c>
      <c r="C511" t="s">
        <v>2893</v>
      </c>
      <c r="D511" t="s">
        <v>3707</v>
      </c>
      <c r="E511" t="s">
        <v>3801</v>
      </c>
      <c r="F511" t="s">
        <v>665</v>
      </c>
      <c r="G511" t="s">
        <v>3802</v>
      </c>
      <c r="H511" s="3">
        <v>42069</v>
      </c>
      <c r="I511" s="3">
        <v>42157</v>
      </c>
    </row>
    <row r="512" spans="1:9" x14ac:dyDescent="0.3">
      <c r="A512" s="2" t="str">
        <f>HYPERLINK("https://www.pcpacanada.ca/negotiation/20806", "Gazyva  (obinutuzumab)")</f>
        <v>Gazyva  (obinutuzumab)</v>
      </c>
      <c r="B512" t="s">
        <v>3068</v>
      </c>
      <c r="C512" t="s">
        <v>2893</v>
      </c>
      <c r="D512" t="s">
        <v>2987</v>
      </c>
      <c r="E512" t="s">
        <v>3803</v>
      </c>
      <c r="F512" t="s">
        <v>3068</v>
      </c>
      <c r="G512" t="s">
        <v>2880</v>
      </c>
      <c r="H512" s="3">
        <v>42045</v>
      </c>
      <c r="I512" s="3">
        <v>42139</v>
      </c>
    </row>
    <row r="513" spans="1:9" x14ac:dyDescent="0.3">
      <c r="A513" s="2" t="str">
        <f>HYPERLINK("https://www.pcpacanada.ca/negotiation/20805", "Abraxane  (nab-paclitaxel)")</f>
        <v>Abraxane  (nab-paclitaxel)</v>
      </c>
      <c r="B513" t="s">
        <v>61</v>
      </c>
      <c r="C513" t="s">
        <v>2893</v>
      </c>
      <c r="D513" t="s">
        <v>54</v>
      </c>
      <c r="E513" t="s">
        <v>3804</v>
      </c>
      <c r="F513" t="s">
        <v>61</v>
      </c>
      <c r="G513" t="s">
        <v>3805</v>
      </c>
      <c r="H513" s="3">
        <v>41941</v>
      </c>
      <c r="I513" s="3">
        <v>42065</v>
      </c>
    </row>
    <row r="514" spans="1:9" x14ac:dyDescent="0.3">
      <c r="A514" s="2" t="str">
        <f>HYPERLINK("https://www.pcpacanada.ca/negotiation/20804", "Yervoy  (ipilimumab)")</f>
        <v>Yervoy  (ipilimumab)</v>
      </c>
      <c r="B514" t="s">
        <v>658</v>
      </c>
      <c r="C514" t="s">
        <v>2893</v>
      </c>
      <c r="D514" t="s">
        <v>2776</v>
      </c>
      <c r="E514" t="s">
        <v>3806</v>
      </c>
      <c r="F514" t="s">
        <v>658</v>
      </c>
      <c r="G514" t="s">
        <v>3807</v>
      </c>
      <c r="H514" s="3" t="s">
        <v>2880</v>
      </c>
      <c r="I514" s="3">
        <v>42065</v>
      </c>
    </row>
    <row r="515" spans="1:9" x14ac:dyDescent="0.3">
      <c r="A515" s="2" t="str">
        <f>HYPERLINK("https://www.pcpacanada.ca/negotiation/20803", "Arzerra  (ofatumumab)")</f>
        <v>Arzerra  (ofatumumab)</v>
      </c>
      <c r="B515" t="s">
        <v>455</v>
      </c>
      <c r="C515" t="s">
        <v>2908</v>
      </c>
      <c r="D515" t="s">
        <v>2987</v>
      </c>
      <c r="E515" t="s">
        <v>3808</v>
      </c>
      <c r="F515" t="s">
        <v>455</v>
      </c>
      <c r="G515" t="s">
        <v>2880</v>
      </c>
      <c r="H515" s="3" t="s">
        <v>2880</v>
      </c>
      <c r="I515" s="3">
        <v>42062</v>
      </c>
    </row>
    <row r="516" spans="1:9" x14ac:dyDescent="0.3">
      <c r="A516" s="2" t="str">
        <f>HYPERLINK("https://www.pcpacanada.ca/negotiation/20802", "Afinitor  (everolimus)")</f>
        <v>Afinitor  (everolimus)</v>
      </c>
      <c r="B516" t="s">
        <v>71</v>
      </c>
      <c r="C516" t="s">
        <v>2908</v>
      </c>
      <c r="D516" t="s">
        <v>3809</v>
      </c>
      <c r="E516" t="s">
        <v>3810</v>
      </c>
      <c r="F516" t="s">
        <v>71</v>
      </c>
      <c r="G516" t="s">
        <v>180</v>
      </c>
      <c r="H516" s="3" t="s">
        <v>2880</v>
      </c>
      <c r="I516" s="3">
        <v>41579</v>
      </c>
    </row>
    <row r="517" spans="1:9" x14ac:dyDescent="0.3">
      <c r="A517" s="2" t="str">
        <f>HYPERLINK("https://www.pcpacanada.ca/negotiation/20801", "Adempas  (riociguat)")</f>
        <v>Adempas  (riociguat)</v>
      </c>
      <c r="B517" t="s">
        <v>146</v>
      </c>
      <c r="C517" t="s">
        <v>2908</v>
      </c>
      <c r="D517" t="s">
        <v>3811</v>
      </c>
      <c r="E517" t="s">
        <v>3812</v>
      </c>
      <c r="F517" t="s">
        <v>146</v>
      </c>
      <c r="G517" t="s">
        <v>145</v>
      </c>
      <c r="H517" s="3" t="s">
        <v>2880</v>
      </c>
      <c r="I517" s="3">
        <v>42766</v>
      </c>
    </row>
    <row r="518" spans="1:9" x14ac:dyDescent="0.3">
      <c r="A518" s="2" t="str">
        <f>HYPERLINK("https://www.pcpacanada.ca/negotiation/20800", "Abilify  (aripiprazole)")</f>
        <v>Abilify  (aripiprazole)</v>
      </c>
      <c r="B518" t="s">
        <v>658</v>
      </c>
      <c r="C518" t="s">
        <v>2908</v>
      </c>
      <c r="D518" t="s">
        <v>3016</v>
      </c>
      <c r="E518" t="s">
        <v>3813</v>
      </c>
      <c r="F518" t="s">
        <v>658</v>
      </c>
      <c r="G518" t="s">
        <v>3814</v>
      </c>
      <c r="H518" s="3" t="s">
        <v>2880</v>
      </c>
      <c r="I518" s="3">
        <v>41975</v>
      </c>
    </row>
    <row r="519" spans="1:9" x14ac:dyDescent="0.3">
      <c r="A519" s="2" t="str">
        <f>HYPERLINK("https://www.pcpacanada.ca/negotiation/20799", "Pomalyst  (pomalidomide)")</f>
        <v>Pomalyst  (pomalidomide)</v>
      </c>
      <c r="B519" t="s">
        <v>61</v>
      </c>
      <c r="C519" t="s">
        <v>2893</v>
      </c>
      <c r="D519" t="s">
        <v>663</v>
      </c>
      <c r="E519" t="s">
        <v>3815</v>
      </c>
      <c r="F519" t="s">
        <v>61</v>
      </c>
      <c r="G519" t="s">
        <v>3816</v>
      </c>
      <c r="H519" s="3">
        <v>41872</v>
      </c>
      <c r="I519" s="3">
        <v>42027</v>
      </c>
    </row>
    <row r="520" spans="1:9" x14ac:dyDescent="0.3">
      <c r="A520" s="2" t="str">
        <f>HYPERLINK("https://www.pcpacanada.ca/negotiation/20798", "Zaltrap  (aflibercept)")</f>
        <v>Zaltrap  (aflibercept)</v>
      </c>
      <c r="B520" t="s">
        <v>3817</v>
      </c>
      <c r="C520" t="s">
        <v>2908</v>
      </c>
      <c r="D520" t="s">
        <v>324</v>
      </c>
      <c r="E520" t="s">
        <v>3818</v>
      </c>
      <c r="F520" t="s">
        <v>3817</v>
      </c>
      <c r="G520" t="s">
        <v>3819</v>
      </c>
      <c r="H520" s="3" t="s">
        <v>2880</v>
      </c>
      <c r="I520" s="3">
        <v>41907</v>
      </c>
    </row>
    <row r="521" spans="1:9" x14ac:dyDescent="0.3">
      <c r="A521" s="2" t="str">
        <f>HYPERLINK("https://www.pcpacanada.ca/negotiation/20797", "Effient  (prasugrel)")</f>
        <v>Effient  (prasugrel)</v>
      </c>
      <c r="B521" t="s">
        <v>133</v>
      </c>
      <c r="C521" t="s">
        <v>2893</v>
      </c>
      <c r="D521" t="s">
        <v>765</v>
      </c>
      <c r="E521" t="s">
        <v>3820</v>
      </c>
      <c r="F521" t="s">
        <v>133</v>
      </c>
      <c r="G521" t="s">
        <v>3821</v>
      </c>
      <c r="H521" s="3">
        <v>41183</v>
      </c>
      <c r="I521" s="3">
        <v>41493</v>
      </c>
    </row>
    <row r="522" spans="1:9" x14ac:dyDescent="0.3">
      <c r="A522" s="2" t="str">
        <f>HYPERLINK("https://www.pcpacanada.ca/negotiation/20796", "Seebri  (glycopyrronium bromide)")</f>
        <v>Seebri  (glycopyrronium bromide)</v>
      </c>
      <c r="B522" t="s">
        <v>71</v>
      </c>
      <c r="C522" t="s">
        <v>2893</v>
      </c>
      <c r="D522" t="s">
        <v>2488</v>
      </c>
      <c r="E522" t="s">
        <v>3822</v>
      </c>
      <c r="F522" t="s">
        <v>71</v>
      </c>
      <c r="G522" t="s">
        <v>3823</v>
      </c>
      <c r="H522" s="3">
        <v>41426</v>
      </c>
      <c r="I522" s="3">
        <v>41484</v>
      </c>
    </row>
    <row r="523" spans="1:9" x14ac:dyDescent="0.3">
      <c r="A523" s="2" t="str">
        <f>HYPERLINK("https://www.pcpacanada.ca/negotiation/20795", "Stribild  (elvitegravir/cobicistat/emtricitabine/tenofovir disoproxil fumarate)")</f>
        <v>Stribild  (elvitegravir/cobicistat/emtricitabine/tenofovir disoproxil fumarate)</v>
      </c>
      <c r="B523" t="s">
        <v>539</v>
      </c>
      <c r="C523" t="s">
        <v>2893</v>
      </c>
      <c r="D523" t="s">
        <v>273</v>
      </c>
      <c r="E523" t="s">
        <v>3824</v>
      </c>
      <c r="F523" t="s">
        <v>539</v>
      </c>
      <c r="G523" t="s">
        <v>3825</v>
      </c>
      <c r="H523" s="3">
        <v>41435</v>
      </c>
      <c r="I523" s="3">
        <v>41466</v>
      </c>
    </row>
    <row r="524" spans="1:9" x14ac:dyDescent="0.3">
      <c r="A524" s="2" t="str">
        <f>HYPERLINK("https://www.pcpacanada.ca/negotiation/20794", "Stivarga  (regorafenib)")</f>
        <v>Stivarga  (regorafenib)</v>
      </c>
      <c r="B524" t="s">
        <v>146</v>
      </c>
      <c r="C524" t="s">
        <v>2893</v>
      </c>
      <c r="D524" t="s">
        <v>3588</v>
      </c>
      <c r="E524" t="s">
        <v>3826</v>
      </c>
      <c r="F524" t="s">
        <v>146</v>
      </c>
      <c r="G524" t="s">
        <v>3827</v>
      </c>
      <c r="H524" s="3" t="s">
        <v>2880</v>
      </c>
      <c r="I524" s="3">
        <v>41862</v>
      </c>
    </row>
    <row r="525" spans="1:9" x14ac:dyDescent="0.3">
      <c r="A525" s="2" t="str">
        <f>HYPERLINK("https://www.pcpacanada.ca/negotiation/20793", "Abilify  (aripiprazole)")</f>
        <v>Abilify  (aripiprazole)</v>
      </c>
      <c r="B525" t="s">
        <v>658</v>
      </c>
      <c r="C525" t="s">
        <v>3082</v>
      </c>
      <c r="D525" t="s">
        <v>3828</v>
      </c>
      <c r="E525" t="s">
        <v>3829</v>
      </c>
      <c r="F525" t="s">
        <v>658</v>
      </c>
      <c r="G525" t="s">
        <v>2880</v>
      </c>
      <c r="H525" s="3">
        <v>42522</v>
      </c>
      <c r="I525" s="3">
        <v>42825</v>
      </c>
    </row>
    <row r="526" spans="1:9" x14ac:dyDescent="0.3">
      <c r="A526" s="2" t="str">
        <f>HYPERLINK("https://www.pcpacanada.ca/negotiation/20792", "Tysabri  (natalizumab)")</f>
        <v>Tysabri  (natalizumab)</v>
      </c>
      <c r="B526" t="s">
        <v>1874</v>
      </c>
      <c r="C526" t="s">
        <v>2893</v>
      </c>
      <c r="D526" t="s">
        <v>2931</v>
      </c>
      <c r="E526" t="s">
        <v>3830</v>
      </c>
      <c r="F526" t="s">
        <v>1874</v>
      </c>
      <c r="G526" t="s">
        <v>3831</v>
      </c>
      <c r="H526" s="3">
        <v>41609</v>
      </c>
      <c r="I526" s="3">
        <v>41403</v>
      </c>
    </row>
    <row r="527" spans="1:9" x14ac:dyDescent="0.3">
      <c r="A527" s="2" t="str">
        <f>HYPERLINK("https://www.pcpacanada.ca/negotiation/20791", "Revlimid  (lenalidomide)")</f>
        <v>Revlimid  (lenalidomide)</v>
      </c>
      <c r="B527" t="s">
        <v>61</v>
      </c>
      <c r="C527" t="s">
        <v>2893</v>
      </c>
      <c r="D527" t="s">
        <v>663</v>
      </c>
      <c r="E527" t="s">
        <v>3832</v>
      </c>
      <c r="F527" t="s">
        <v>61</v>
      </c>
      <c r="G527" t="s">
        <v>3833</v>
      </c>
      <c r="H527" s="3">
        <v>41590</v>
      </c>
      <c r="I527" s="3">
        <v>41845</v>
      </c>
    </row>
    <row r="528" spans="1:9" x14ac:dyDescent="0.3">
      <c r="A528" s="2" t="str">
        <f>HYPERLINK("https://www.pcpacanada.ca/negotiation/20790", "Giotrif  (afatinib)")</f>
        <v>Giotrif  (afatinib)</v>
      </c>
      <c r="B528" t="s">
        <v>2992</v>
      </c>
      <c r="C528" t="s">
        <v>2893</v>
      </c>
      <c r="D528" t="s">
        <v>3582</v>
      </c>
      <c r="E528" t="s">
        <v>3834</v>
      </c>
      <c r="F528" t="s">
        <v>2992</v>
      </c>
      <c r="G528" t="s">
        <v>3835</v>
      </c>
      <c r="H528" s="3">
        <v>41768</v>
      </c>
      <c r="I528" s="3">
        <v>41823</v>
      </c>
    </row>
    <row r="529" spans="1:9" x14ac:dyDescent="0.3">
      <c r="A529" s="2" t="str">
        <f>HYPERLINK("https://www.pcpacanada.ca/negotiation/20789", "Mekinist  (trametinib)")</f>
        <v>Mekinist  (trametinib)</v>
      </c>
      <c r="B529" t="s">
        <v>455</v>
      </c>
      <c r="C529" t="s">
        <v>2893</v>
      </c>
      <c r="D529" t="s">
        <v>1313</v>
      </c>
      <c r="E529" t="s">
        <v>3836</v>
      </c>
      <c r="F529" t="s">
        <v>455</v>
      </c>
      <c r="G529" t="s">
        <v>3837</v>
      </c>
      <c r="H529" s="3">
        <v>41596</v>
      </c>
      <c r="I529" s="3">
        <v>41815</v>
      </c>
    </row>
    <row r="530" spans="1:9" x14ac:dyDescent="0.3">
      <c r="A530" s="2" t="str">
        <f>HYPERLINK("https://www.pcpacanada.ca/negotiation/20788", "Onbrez  (indacaterol)")</f>
        <v>Onbrez  (indacaterol)</v>
      </c>
      <c r="B530" t="s">
        <v>71</v>
      </c>
      <c r="C530" t="s">
        <v>2893</v>
      </c>
      <c r="D530" t="s">
        <v>2488</v>
      </c>
      <c r="E530" t="s">
        <v>3838</v>
      </c>
      <c r="F530" t="s">
        <v>71</v>
      </c>
      <c r="G530" t="s">
        <v>3839</v>
      </c>
      <c r="H530" s="3">
        <v>41244</v>
      </c>
      <c r="I530" s="3">
        <v>41376</v>
      </c>
    </row>
    <row r="531" spans="1:9" x14ac:dyDescent="0.3">
      <c r="A531" s="2" t="str">
        <f>HYPERLINK("https://www.pcpacanada.ca/negotiation/20787", "Gilenya  (fingolimod)")</f>
        <v>Gilenya  (fingolimod)</v>
      </c>
      <c r="B531" t="s">
        <v>71</v>
      </c>
      <c r="C531" t="s">
        <v>2893</v>
      </c>
      <c r="D531" t="s">
        <v>3840</v>
      </c>
      <c r="E531" t="s">
        <v>3841</v>
      </c>
      <c r="F531" t="s">
        <v>71</v>
      </c>
      <c r="G531" t="s">
        <v>3842</v>
      </c>
      <c r="H531" s="3">
        <v>41091</v>
      </c>
      <c r="I531" s="3">
        <v>41337</v>
      </c>
    </row>
    <row r="532" spans="1:9" x14ac:dyDescent="0.3">
      <c r="A532" s="2" t="str">
        <f>HYPERLINK("https://www.pcpacanada.ca/negotiation/20786", "Tafinlar  (dabrafenib)")</f>
        <v>Tafinlar  (dabrafenib)</v>
      </c>
      <c r="B532" t="s">
        <v>71</v>
      </c>
      <c r="C532" t="s">
        <v>2893</v>
      </c>
      <c r="D532" t="s">
        <v>1313</v>
      </c>
      <c r="E532" t="s">
        <v>3843</v>
      </c>
      <c r="F532" t="s">
        <v>71</v>
      </c>
      <c r="G532" t="s">
        <v>3844</v>
      </c>
      <c r="H532" s="3" t="s">
        <v>2880</v>
      </c>
      <c r="I532" s="3">
        <v>41815</v>
      </c>
    </row>
    <row r="533" spans="1:9" x14ac:dyDescent="0.3">
      <c r="A533" s="2" t="str">
        <f>HYPERLINK("https://www.pcpacanada.ca/negotiation/20785", "Xarelto  (rivaroxaban)")</f>
        <v>Xarelto  (rivaroxaban)</v>
      </c>
      <c r="B533" t="s">
        <v>146</v>
      </c>
      <c r="C533" t="s">
        <v>2893</v>
      </c>
      <c r="D533" t="s">
        <v>2699</v>
      </c>
      <c r="E533" t="s">
        <v>3845</v>
      </c>
      <c r="F533" t="s">
        <v>146</v>
      </c>
      <c r="G533" t="s">
        <v>3846</v>
      </c>
      <c r="H533" s="3" t="s">
        <v>2880</v>
      </c>
      <c r="I533" s="3">
        <v>41079</v>
      </c>
    </row>
    <row r="534" spans="1:9" x14ac:dyDescent="0.3">
      <c r="A534" s="2" t="str">
        <f>HYPERLINK("https://www.pcpacanada.ca/negotiation/20784", "Pradaxa  (dabigatran etexilate)")</f>
        <v>Pradaxa  (dabigatran etexilate)</v>
      </c>
      <c r="B534" t="s">
        <v>2992</v>
      </c>
      <c r="C534" t="s">
        <v>2893</v>
      </c>
      <c r="D534" t="s">
        <v>1889</v>
      </c>
      <c r="E534" t="s">
        <v>3847</v>
      </c>
      <c r="F534" t="s">
        <v>2992</v>
      </c>
      <c r="G534" t="s">
        <v>3848</v>
      </c>
      <c r="H534" s="3">
        <v>41507</v>
      </c>
      <c r="I534" s="3">
        <v>40990</v>
      </c>
    </row>
    <row r="535" spans="1:9" x14ac:dyDescent="0.3">
      <c r="A535" s="2" t="str">
        <f>HYPERLINK("https://www.pcpacanada.ca/negotiation/20783", "Victoza  (liraglutide)")</f>
        <v>Victoza  (liraglutide)</v>
      </c>
      <c r="B535" t="s">
        <v>1433</v>
      </c>
      <c r="C535" t="s">
        <v>3082</v>
      </c>
      <c r="D535" t="s">
        <v>1192</v>
      </c>
      <c r="E535" t="s">
        <v>3849</v>
      </c>
      <c r="F535" t="s">
        <v>1433</v>
      </c>
      <c r="G535" t="s">
        <v>2880</v>
      </c>
      <c r="H535" s="3">
        <v>43131</v>
      </c>
      <c r="I535" s="3">
        <v>43553</v>
      </c>
    </row>
    <row r="536" spans="1:9" x14ac:dyDescent="0.3">
      <c r="A536" s="2" t="str">
        <f>HYPERLINK("https://www.pcpacanada.ca/negotiation/20782", "Humira  (adalimumab)")</f>
        <v>Humira  (adalimumab)</v>
      </c>
      <c r="B536" t="s">
        <v>725</v>
      </c>
      <c r="C536" t="s">
        <v>2893</v>
      </c>
      <c r="D536" t="s">
        <v>3716</v>
      </c>
      <c r="E536" t="s">
        <v>3850</v>
      </c>
      <c r="F536" t="s">
        <v>725</v>
      </c>
      <c r="G536" t="s">
        <v>2880</v>
      </c>
      <c r="H536" s="3">
        <v>42940</v>
      </c>
      <c r="I536" s="3">
        <v>43031</v>
      </c>
    </row>
    <row r="537" spans="1:9" x14ac:dyDescent="0.3">
      <c r="A537" s="2" t="str">
        <f>HYPERLINK("https://www.pcpacanada.ca/negotiation/20781", "Cinqair  (reslizumab)")</f>
        <v>Cinqair  (reslizumab)</v>
      </c>
      <c r="B537" t="s">
        <v>3093</v>
      </c>
      <c r="C537" t="s">
        <v>3082</v>
      </c>
      <c r="D537" t="s">
        <v>3362</v>
      </c>
      <c r="E537" t="s">
        <v>3851</v>
      </c>
      <c r="F537" t="s">
        <v>3093</v>
      </c>
      <c r="G537" t="s">
        <v>562</v>
      </c>
      <c r="H537" s="3">
        <v>42940</v>
      </c>
      <c r="I537" s="3">
        <v>43419</v>
      </c>
    </row>
    <row r="538" spans="1:9" x14ac:dyDescent="0.3">
      <c r="A538" s="2" t="str">
        <f>HYPERLINK("https://www.pcpacanada.ca/negotiation/20780", "Erivedge  (vismodegib)")</f>
        <v>Erivedge  (vismodegib)</v>
      </c>
      <c r="B538" t="s">
        <v>3068</v>
      </c>
      <c r="C538" t="s">
        <v>2893</v>
      </c>
      <c r="D538" t="s">
        <v>3852</v>
      </c>
      <c r="E538" t="s">
        <v>3853</v>
      </c>
      <c r="F538" t="s">
        <v>3068</v>
      </c>
      <c r="G538" t="s">
        <v>3854</v>
      </c>
      <c r="H538" s="3">
        <v>41660</v>
      </c>
      <c r="I538" s="3">
        <v>41730</v>
      </c>
    </row>
    <row r="539" spans="1:9" x14ac:dyDescent="0.3">
      <c r="A539" s="2" t="str">
        <f>HYPERLINK("https://www.pcpacanada.ca/negotiation/20779", "Kadcyla  (trastuzumab emtansine)")</f>
        <v>Kadcyla  (trastuzumab emtansine)</v>
      </c>
      <c r="B539" t="s">
        <v>3068</v>
      </c>
      <c r="C539" t="s">
        <v>2893</v>
      </c>
      <c r="D539" t="s">
        <v>1016</v>
      </c>
      <c r="E539" t="s">
        <v>3855</v>
      </c>
      <c r="F539" t="s">
        <v>3068</v>
      </c>
      <c r="G539" t="s">
        <v>3856</v>
      </c>
      <c r="H539" s="3" t="s">
        <v>2880</v>
      </c>
      <c r="I539" s="3">
        <v>41729</v>
      </c>
    </row>
    <row r="540" spans="1:9" x14ac:dyDescent="0.3">
      <c r="A540" s="2" t="str">
        <f>HYPERLINK("https://www.pcpacanada.ca/negotiation/20778", "Alimta  (pemetrexed)")</f>
        <v>Alimta  (pemetrexed)</v>
      </c>
      <c r="B540" t="s">
        <v>133</v>
      </c>
      <c r="C540" t="s">
        <v>2893</v>
      </c>
      <c r="D540" t="s">
        <v>3857</v>
      </c>
      <c r="E540" t="s">
        <v>3858</v>
      </c>
      <c r="F540" t="s">
        <v>133</v>
      </c>
      <c r="G540" t="s">
        <v>3859</v>
      </c>
      <c r="H540" s="3">
        <v>41617</v>
      </c>
      <c r="I540" s="3">
        <v>41698</v>
      </c>
    </row>
    <row r="541" spans="1:9" x14ac:dyDescent="0.3">
      <c r="A541" s="2" t="str">
        <f>HYPERLINK("https://www.pcpacanada.ca/negotiation/20777", "Adcetris  (brentuximab vedotin)")</f>
        <v>Adcetris  (brentuximab vedotin)</v>
      </c>
      <c r="B541" t="s">
        <v>116</v>
      </c>
      <c r="C541" t="s">
        <v>2893</v>
      </c>
      <c r="D541" t="s">
        <v>121</v>
      </c>
      <c r="E541" t="s">
        <v>3860</v>
      </c>
      <c r="F541" t="s">
        <v>116</v>
      </c>
      <c r="G541" t="s">
        <v>3861</v>
      </c>
      <c r="H541" s="3">
        <v>41521</v>
      </c>
      <c r="I541" s="3">
        <v>41670</v>
      </c>
    </row>
    <row r="542" spans="1:9" x14ac:dyDescent="0.3">
      <c r="A542" s="2" t="str">
        <f>HYPERLINK("https://www.pcpacanada.ca/negotiation/20776", "Xiaflex  (collagenase clostridium histolyticum)")</f>
        <v>Xiaflex  (collagenase clostridium histolyticum)</v>
      </c>
      <c r="B542" t="s">
        <v>3862</v>
      </c>
      <c r="C542" t="s">
        <v>2908</v>
      </c>
      <c r="D542" t="s">
        <v>3863</v>
      </c>
      <c r="E542" t="s">
        <v>3864</v>
      </c>
      <c r="F542" t="s">
        <v>3862</v>
      </c>
      <c r="G542" t="s">
        <v>3865</v>
      </c>
      <c r="H542" s="3" t="s">
        <v>2880</v>
      </c>
      <c r="I542" s="3">
        <v>41716</v>
      </c>
    </row>
    <row r="543" spans="1:9" x14ac:dyDescent="0.3">
      <c r="A543" s="2" t="str">
        <f>HYPERLINK("https://www.pcpacanada.ca/negotiation/20775", "Xgeva  (denosumab)")</f>
        <v>Xgeva  (denosumab)</v>
      </c>
      <c r="B543" t="s">
        <v>407</v>
      </c>
      <c r="C543" t="s">
        <v>2908</v>
      </c>
      <c r="D543" t="s">
        <v>2722</v>
      </c>
      <c r="E543" t="s">
        <v>3866</v>
      </c>
      <c r="F543" t="s">
        <v>407</v>
      </c>
      <c r="G543" t="s">
        <v>2723</v>
      </c>
      <c r="H543" s="3" t="s">
        <v>2880</v>
      </c>
      <c r="I543" s="3">
        <v>42766</v>
      </c>
    </row>
    <row r="544" spans="1:9" x14ac:dyDescent="0.3">
      <c r="A544" s="2" t="str">
        <f>HYPERLINK("https://www.pcpacanada.ca/negotiation/20774", "Zytiga  (abiraterone)")</f>
        <v>Zytiga  (abiraterone)</v>
      </c>
      <c r="B544" t="s">
        <v>665</v>
      </c>
      <c r="C544" t="s">
        <v>2893</v>
      </c>
      <c r="D544" t="s">
        <v>2755</v>
      </c>
      <c r="E544" t="s">
        <v>3867</v>
      </c>
      <c r="F544" t="s">
        <v>665</v>
      </c>
      <c r="G544" t="s">
        <v>3868</v>
      </c>
      <c r="H544" s="3">
        <v>41590</v>
      </c>
      <c r="I544" s="3">
        <v>41662</v>
      </c>
    </row>
    <row r="545" spans="1:9" x14ac:dyDescent="0.3">
      <c r="A545" s="2" t="str">
        <f>HYPERLINK("https://www.pcpacanada.ca/negotiation/20773", "Victoza  (liraglutide)")</f>
        <v>Victoza  (liraglutide)</v>
      </c>
      <c r="B545" t="s">
        <v>1433</v>
      </c>
      <c r="C545" t="s">
        <v>3082</v>
      </c>
      <c r="D545" t="s">
        <v>1192</v>
      </c>
      <c r="E545" t="s">
        <v>3869</v>
      </c>
      <c r="F545" t="s">
        <v>1433</v>
      </c>
      <c r="G545" t="s">
        <v>2880</v>
      </c>
      <c r="H545" s="3" t="s">
        <v>2880</v>
      </c>
      <c r="I545" s="3">
        <v>42538</v>
      </c>
    </row>
    <row r="546" spans="1:9" x14ac:dyDescent="0.3">
      <c r="A546" s="2" t="str">
        <f>HYPERLINK("https://www.pcpacanada.ca/negotiation/20772", "Erbitux  (cetuximab)")</f>
        <v>Erbitux  (cetuximab)</v>
      </c>
      <c r="B546" t="s">
        <v>133</v>
      </c>
      <c r="C546" t="s">
        <v>2908</v>
      </c>
      <c r="D546" t="s">
        <v>324</v>
      </c>
      <c r="E546" t="s">
        <v>3870</v>
      </c>
      <c r="F546" t="s">
        <v>133</v>
      </c>
      <c r="G546" t="s">
        <v>2880</v>
      </c>
      <c r="H546" s="3" t="s">
        <v>2880</v>
      </c>
      <c r="I546" s="3">
        <v>41660</v>
      </c>
    </row>
    <row r="547" spans="1:9" x14ac:dyDescent="0.3">
      <c r="A547" s="2" t="str">
        <f>HYPERLINK("https://www.pcpacanada.ca/negotiation/20771", "Votrient  (pazopanib hydrochloride)")</f>
        <v>Votrient  (pazopanib hydrochloride)</v>
      </c>
      <c r="B547" t="s">
        <v>455</v>
      </c>
      <c r="C547" t="s">
        <v>2893</v>
      </c>
      <c r="D547" t="s">
        <v>1153</v>
      </c>
      <c r="E547" t="s">
        <v>3871</v>
      </c>
      <c r="F547" t="s">
        <v>455</v>
      </c>
      <c r="G547" t="s">
        <v>2880</v>
      </c>
      <c r="H547" s="3" t="s">
        <v>2880</v>
      </c>
      <c r="I547" s="3">
        <v>41610</v>
      </c>
    </row>
    <row r="548" spans="1:9" x14ac:dyDescent="0.3">
      <c r="A548" s="2" t="str">
        <f>HYPERLINK("https://www.pcpacanada.ca/negotiation/20770", "Technivie  (ombitasvir/paritaprevir/ritonavir)")</f>
        <v>Technivie  (ombitasvir/paritaprevir/ritonavir)</v>
      </c>
      <c r="B548" t="s">
        <v>725</v>
      </c>
      <c r="C548" t="s">
        <v>3082</v>
      </c>
      <c r="D548" t="s">
        <v>3872</v>
      </c>
      <c r="E548" t="s">
        <v>3873</v>
      </c>
      <c r="F548" t="s">
        <v>725</v>
      </c>
      <c r="G548" t="s">
        <v>2396</v>
      </c>
      <c r="H548" s="3">
        <v>42474</v>
      </c>
      <c r="I548" s="3">
        <v>42783</v>
      </c>
    </row>
    <row r="549" spans="1:9" x14ac:dyDescent="0.3">
      <c r="A549" s="2" t="str">
        <f>HYPERLINK("https://www.pcpacanada.ca/negotiation/20769", "Soliris  (eculizumab)")</f>
        <v>Soliris  (eculizumab)</v>
      </c>
      <c r="B549" t="s">
        <v>3056</v>
      </c>
      <c r="C549" t="s">
        <v>3082</v>
      </c>
      <c r="D549" t="s">
        <v>3874</v>
      </c>
      <c r="E549" t="s">
        <v>3875</v>
      </c>
      <c r="F549" t="s">
        <v>3056</v>
      </c>
      <c r="G549" t="s">
        <v>3876</v>
      </c>
      <c r="H549" s="3">
        <v>42222</v>
      </c>
      <c r="I549" s="3">
        <v>42416</v>
      </c>
    </row>
    <row r="550" spans="1:9" x14ac:dyDescent="0.3">
      <c r="A550" s="2" t="str">
        <f>HYPERLINK("https://www.pcpacanada.ca/negotiation/20768", "Inlyta  (axitinib)")</f>
        <v>Inlyta  (axitinib)</v>
      </c>
      <c r="B550" t="s">
        <v>445</v>
      </c>
      <c r="C550" t="s">
        <v>2893</v>
      </c>
      <c r="D550" t="s">
        <v>1153</v>
      </c>
      <c r="E550" t="s">
        <v>3877</v>
      </c>
      <c r="F550" t="s">
        <v>445</v>
      </c>
      <c r="G550" t="s">
        <v>3878</v>
      </c>
      <c r="H550" s="3">
        <v>41400</v>
      </c>
      <c r="I550" s="3">
        <v>41600</v>
      </c>
    </row>
    <row r="551" spans="1:9" x14ac:dyDescent="0.3">
      <c r="A551" s="2" t="str">
        <f>HYPERLINK("https://www.pcpacanada.ca/negotiation/20767", "Perjeta/Herceptin  (pertuzumab/trastuzumab)")</f>
        <v>Perjeta/Herceptin  (pertuzumab/trastuzumab)</v>
      </c>
      <c r="B551" t="s">
        <v>3068</v>
      </c>
      <c r="C551" t="s">
        <v>2893</v>
      </c>
      <c r="D551" t="s">
        <v>1016</v>
      </c>
      <c r="E551" t="s">
        <v>3879</v>
      </c>
      <c r="F551" t="s">
        <v>3068</v>
      </c>
      <c r="G551" t="s">
        <v>2880</v>
      </c>
      <c r="H551" s="3">
        <v>41488</v>
      </c>
      <c r="I551" s="3">
        <v>41565</v>
      </c>
    </row>
    <row r="552" spans="1:9" x14ac:dyDescent="0.3">
      <c r="A552" s="2" t="str">
        <f>HYPERLINK("https://www.pcpacanada.ca/negotiation/20766", "Afinitor  (everolimus)")</f>
        <v>Afinitor  (everolimus)</v>
      </c>
      <c r="B552" t="s">
        <v>71</v>
      </c>
      <c r="C552" t="s">
        <v>2893</v>
      </c>
      <c r="D552" t="s">
        <v>3880</v>
      </c>
      <c r="E552" t="s">
        <v>3881</v>
      </c>
      <c r="F552" t="s">
        <v>71</v>
      </c>
      <c r="G552" t="s">
        <v>3882</v>
      </c>
      <c r="H552" s="3">
        <v>41512</v>
      </c>
      <c r="I552" s="3">
        <v>41558</v>
      </c>
    </row>
    <row r="553" spans="1:9" x14ac:dyDescent="0.3">
      <c r="A553" s="2" t="str">
        <f>HYPERLINK("https://www.pcpacanada.ca/negotiation/20765", "Jadenu  (deferasirox)")</f>
        <v>Jadenu  (deferasirox)</v>
      </c>
      <c r="B553" t="s">
        <v>71</v>
      </c>
      <c r="C553" t="s">
        <v>2893</v>
      </c>
      <c r="D553" t="s">
        <v>3883</v>
      </c>
      <c r="E553" t="s">
        <v>3884</v>
      </c>
      <c r="F553" t="s">
        <v>71</v>
      </c>
      <c r="G553" t="s">
        <v>2880</v>
      </c>
      <c r="H553" s="3">
        <v>42676</v>
      </c>
      <c r="I553" s="3">
        <v>42829</v>
      </c>
    </row>
    <row r="554" spans="1:9" x14ac:dyDescent="0.3">
      <c r="A554" s="2" t="str">
        <f>HYPERLINK("https://www.pcpacanada.ca/negotiation/20764", "Rosiver  (ivermectin)")</f>
        <v>Rosiver  (ivermectin)</v>
      </c>
      <c r="B554" t="s">
        <v>267</v>
      </c>
      <c r="C554" t="s">
        <v>3082</v>
      </c>
      <c r="D554" t="s">
        <v>265</v>
      </c>
      <c r="E554" t="s">
        <v>3885</v>
      </c>
      <c r="F554" t="s">
        <v>267</v>
      </c>
      <c r="G554" t="s">
        <v>2069</v>
      </c>
      <c r="H554" s="3">
        <v>42475</v>
      </c>
      <c r="I554" s="3">
        <v>42608</v>
      </c>
    </row>
    <row r="555" spans="1:9" x14ac:dyDescent="0.3">
      <c r="A555" s="2" t="str">
        <f>HYPERLINK("https://www.pcpacanada.ca/negotiation/20763", "Sovaldi  (sofosbuvir)")</f>
        <v>Sovaldi  (sofosbuvir)</v>
      </c>
      <c r="B555" t="s">
        <v>539</v>
      </c>
      <c r="C555" t="s">
        <v>2893</v>
      </c>
      <c r="D555" t="s">
        <v>3325</v>
      </c>
      <c r="E555" t="s">
        <v>3886</v>
      </c>
      <c r="F555" t="s">
        <v>539</v>
      </c>
      <c r="G555" t="s">
        <v>2168</v>
      </c>
      <c r="H555" s="3" t="s">
        <v>2880</v>
      </c>
      <c r="I555" s="3">
        <v>42783</v>
      </c>
    </row>
    <row r="556" spans="1:9" x14ac:dyDescent="0.3">
      <c r="A556" s="2" t="str">
        <f>HYPERLINK("https://www.pcpacanada.ca/negotiation/20762", "Xtandi  (enzalutamide)")</f>
        <v>Xtandi  (enzalutamide)</v>
      </c>
      <c r="B556" t="s">
        <v>3062</v>
      </c>
      <c r="C556" t="s">
        <v>2893</v>
      </c>
      <c r="D556" t="s">
        <v>2755</v>
      </c>
      <c r="E556" t="s">
        <v>3887</v>
      </c>
      <c r="F556" t="s">
        <v>3062</v>
      </c>
      <c r="G556" t="s">
        <v>3888</v>
      </c>
      <c r="H556" s="3">
        <v>41493</v>
      </c>
      <c r="I556" s="3">
        <v>41540</v>
      </c>
    </row>
    <row r="557" spans="1:9" x14ac:dyDescent="0.3">
      <c r="A557" s="2" t="str">
        <f>HYPERLINK("https://www.pcpacanada.ca/negotiation/20761", "Metadol-D  (methadone hydrochloride)")</f>
        <v>Metadol-D  (methadone hydrochloride)</v>
      </c>
      <c r="B557" t="s">
        <v>67</v>
      </c>
      <c r="C557" t="s">
        <v>2893</v>
      </c>
      <c r="D557" t="s">
        <v>3486</v>
      </c>
      <c r="E557" t="s">
        <v>3889</v>
      </c>
      <c r="F557" t="s">
        <v>67</v>
      </c>
      <c r="G557" t="s">
        <v>2880</v>
      </c>
      <c r="H557" s="3">
        <v>42671</v>
      </c>
      <c r="I557" s="3">
        <v>42723</v>
      </c>
    </row>
    <row r="558" spans="1:9" x14ac:dyDescent="0.3">
      <c r="A558" s="2" t="str">
        <f>HYPERLINK("https://www.pcpacanada.ca/negotiation/20760", "Revolade  (eltrombopag)")</f>
        <v>Revolade  (eltrombopag)</v>
      </c>
      <c r="B558" t="s">
        <v>455</v>
      </c>
      <c r="C558" t="s">
        <v>2908</v>
      </c>
      <c r="D558" t="s">
        <v>2042</v>
      </c>
      <c r="E558" t="s">
        <v>3890</v>
      </c>
      <c r="F558" t="s">
        <v>455</v>
      </c>
      <c r="G558" t="s">
        <v>3891</v>
      </c>
      <c r="H558" s="3" t="s">
        <v>2880</v>
      </c>
      <c r="I558" s="3">
        <v>42152</v>
      </c>
    </row>
    <row r="559" spans="1:9" x14ac:dyDescent="0.3">
      <c r="A559" s="2" t="str">
        <f>HYPERLINK("https://www.pcpacanada.ca/negotiation/20759", "Picato  (ingenol mebutate)")</f>
        <v>Picato  (ingenol mebutate)</v>
      </c>
      <c r="B559" t="s">
        <v>1867</v>
      </c>
      <c r="C559" t="s">
        <v>2908</v>
      </c>
      <c r="D559" t="s">
        <v>1863</v>
      </c>
      <c r="E559" t="s">
        <v>3892</v>
      </c>
      <c r="F559" t="s">
        <v>1867</v>
      </c>
      <c r="G559" t="s">
        <v>2880</v>
      </c>
      <c r="H559" s="3" t="s">
        <v>2880</v>
      </c>
      <c r="I559" s="3">
        <v>41975</v>
      </c>
    </row>
    <row r="560" spans="1:9" x14ac:dyDescent="0.3">
      <c r="A560" s="2" t="str">
        <f>HYPERLINK("https://www.pcpacanada.ca/negotiation/20758", "Inflectra  (infliximab)")</f>
        <v>Inflectra  (infliximab)</v>
      </c>
      <c r="B560" t="s">
        <v>1148</v>
      </c>
      <c r="C560" t="s">
        <v>2893</v>
      </c>
      <c r="D560" t="s">
        <v>3127</v>
      </c>
      <c r="E560" t="s">
        <v>3893</v>
      </c>
      <c r="F560" t="s">
        <v>1148</v>
      </c>
      <c r="G560" t="s">
        <v>2880</v>
      </c>
      <c r="H560" s="3" t="s">
        <v>2880</v>
      </c>
      <c r="I560" s="3">
        <v>42674</v>
      </c>
    </row>
    <row r="561" spans="1:9" x14ac:dyDescent="0.3">
      <c r="A561" s="2" t="str">
        <f>HYPERLINK("https://www.pcpacanada.ca/negotiation/20757", "Replagal  (agalsidase alfa)")</f>
        <v>Replagal  (agalsidase alfa)</v>
      </c>
      <c r="B561" t="s">
        <v>2280</v>
      </c>
      <c r="C561" t="s">
        <v>2893</v>
      </c>
      <c r="D561" t="s">
        <v>3439</v>
      </c>
      <c r="E561" t="s">
        <v>3894</v>
      </c>
      <c r="F561" t="s">
        <v>2280</v>
      </c>
      <c r="G561" t="s">
        <v>2880</v>
      </c>
      <c r="H561" s="3">
        <v>42601</v>
      </c>
      <c r="I561" s="3">
        <v>42644</v>
      </c>
    </row>
    <row r="562" spans="1:9" x14ac:dyDescent="0.3">
      <c r="A562" s="2" t="str">
        <f>HYPERLINK("https://www.pcpacanada.ca/negotiation/20756", "Fabrazyme  (agalsidase beta)")</f>
        <v>Fabrazyme  (agalsidase beta)</v>
      </c>
      <c r="B562" t="s">
        <v>3475</v>
      </c>
      <c r="C562" t="s">
        <v>2893</v>
      </c>
      <c r="D562" t="s">
        <v>3439</v>
      </c>
      <c r="E562" t="s">
        <v>3895</v>
      </c>
      <c r="F562" t="s">
        <v>3475</v>
      </c>
      <c r="G562" t="s">
        <v>2880</v>
      </c>
      <c r="H562" s="3">
        <v>42601</v>
      </c>
      <c r="I562" s="3">
        <v>42643</v>
      </c>
    </row>
    <row r="563" spans="1:9" x14ac:dyDescent="0.3">
      <c r="A563" s="2" t="str">
        <f>HYPERLINK("https://www.pcpacanada.ca/negotiation/20755", "Orkambi  (lumacaftor/ivacaftor)")</f>
        <v>Orkambi  (lumacaftor/ivacaftor)</v>
      </c>
      <c r="B563" t="s">
        <v>1279</v>
      </c>
      <c r="C563" t="s">
        <v>2908</v>
      </c>
      <c r="D563" t="s">
        <v>1798</v>
      </c>
      <c r="E563" t="s">
        <v>3896</v>
      </c>
      <c r="F563" t="s">
        <v>1279</v>
      </c>
      <c r="G563" t="s">
        <v>1799</v>
      </c>
      <c r="H563" s="3" t="s">
        <v>2880</v>
      </c>
      <c r="I563" s="3">
        <v>42696</v>
      </c>
    </row>
    <row r="564" spans="1:9" x14ac:dyDescent="0.3">
      <c r="A564" s="2" t="str">
        <f>HYPERLINK("https://www.pcpacanada.ca/negotiation/20754", "Jakavi  (ruxolintib)")</f>
        <v>Jakavi  (ruxolintib)</v>
      </c>
      <c r="B564" t="s">
        <v>71</v>
      </c>
      <c r="C564" t="s">
        <v>2893</v>
      </c>
      <c r="D564" t="s">
        <v>1164</v>
      </c>
      <c r="E564" t="s">
        <v>3897</v>
      </c>
      <c r="F564" t="s">
        <v>71</v>
      </c>
      <c r="G564" t="s">
        <v>3898</v>
      </c>
      <c r="H564" s="3">
        <v>41306</v>
      </c>
      <c r="I564" s="3">
        <v>41520</v>
      </c>
    </row>
    <row r="565" spans="1:9" x14ac:dyDescent="0.3">
      <c r="A565" s="2" t="str">
        <f>HYPERLINK("https://www.pcpacanada.ca/negotiation/20753", "Tobi Podhaler  (tobramycin)")</f>
        <v>Tobi Podhaler  (tobramycin)</v>
      </c>
      <c r="B565" t="s">
        <v>71</v>
      </c>
      <c r="C565" t="s">
        <v>2893</v>
      </c>
      <c r="D565" t="s">
        <v>3899</v>
      </c>
      <c r="E565" t="s">
        <v>3900</v>
      </c>
      <c r="F565" t="s">
        <v>71</v>
      </c>
      <c r="G565" t="s">
        <v>2880</v>
      </c>
      <c r="H565" s="3">
        <v>42213</v>
      </c>
      <c r="I565" s="3">
        <v>42479</v>
      </c>
    </row>
    <row r="566" spans="1:9" x14ac:dyDescent="0.3">
      <c r="A566" s="2" t="str">
        <f>HYPERLINK("https://www.pcpacanada.ca/negotiation/20752", "Campral  (acamprosate calcium)")</f>
        <v>Campral  (acamprosate calcium)</v>
      </c>
      <c r="B566" t="s">
        <v>3901</v>
      </c>
      <c r="C566" t="s">
        <v>3082</v>
      </c>
      <c r="D566" t="s">
        <v>526</v>
      </c>
      <c r="E566" t="s">
        <v>3902</v>
      </c>
      <c r="F566" t="s">
        <v>3901</v>
      </c>
      <c r="G566" t="s">
        <v>2880</v>
      </c>
      <c r="H566" s="3">
        <v>42825</v>
      </c>
      <c r="I566" s="3">
        <v>43007</v>
      </c>
    </row>
    <row r="567" spans="1:9" x14ac:dyDescent="0.3">
      <c r="A567" s="2" t="str">
        <f>HYPERLINK("https://www.pcpacanada.ca/negotiation/20751", "Sutent  (sunitinib malate)")</f>
        <v>Sutent  (sunitinib malate)</v>
      </c>
      <c r="B567" t="s">
        <v>445</v>
      </c>
      <c r="C567" t="s">
        <v>2893</v>
      </c>
      <c r="D567" t="s">
        <v>3880</v>
      </c>
      <c r="E567" t="s">
        <v>3903</v>
      </c>
      <c r="F567" t="s">
        <v>445</v>
      </c>
      <c r="G567" t="s">
        <v>3904</v>
      </c>
      <c r="H567" s="3">
        <v>41244</v>
      </c>
      <c r="I567" s="3">
        <v>41500</v>
      </c>
    </row>
    <row r="568" spans="1:9" x14ac:dyDescent="0.3">
      <c r="A568" s="2" t="str">
        <f>HYPERLINK("https://www.pcpacanada.ca/negotiation/20750", "Zaxine  (rifaximin)")</f>
        <v>Zaxine  (rifaximin)</v>
      </c>
      <c r="B568" t="s">
        <v>3905</v>
      </c>
      <c r="C568" t="s">
        <v>2893</v>
      </c>
      <c r="D568" t="s">
        <v>3906</v>
      </c>
      <c r="E568" t="s">
        <v>3907</v>
      </c>
      <c r="F568" t="s">
        <v>3905</v>
      </c>
      <c r="G568" t="s">
        <v>3908</v>
      </c>
      <c r="H568" s="3" t="s">
        <v>2880</v>
      </c>
      <c r="I568" s="3">
        <v>42431</v>
      </c>
    </row>
    <row r="569" spans="1:9" x14ac:dyDescent="0.3">
      <c r="A569" s="2" t="str">
        <f>HYPERLINK("https://www.pcpacanada.ca/negotiation/20749", "Juxtapid  (lomitapide)")</f>
        <v>Juxtapid  (lomitapide)</v>
      </c>
      <c r="B569" t="s">
        <v>3909</v>
      </c>
      <c r="C569" t="s">
        <v>2908</v>
      </c>
      <c r="D569" t="s">
        <v>3910</v>
      </c>
      <c r="E569" t="s">
        <v>3911</v>
      </c>
      <c r="F569" t="s">
        <v>3909</v>
      </c>
      <c r="G569" t="s">
        <v>1258</v>
      </c>
      <c r="H569" s="3" t="s">
        <v>2880</v>
      </c>
      <c r="I569" s="3">
        <v>42150</v>
      </c>
    </row>
    <row r="570" spans="1:9" x14ac:dyDescent="0.3">
      <c r="A570" s="2" t="str">
        <f>HYPERLINK("https://www.pcpacanada.ca/negotiation/20748", "Tykerb &amp; Letrozole  (lapatinib)")</f>
        <v>Tykerb &amp; Letrozole  (lapatinib)</v>
      </c>
      <c r="B570" t="s">
        <v>455</v>
      </c>
      <c r="C570" t="s">
        <v>2908</v>
      </c>
      <c r="D570" t="s">
        <v>3133</v>
      </c>
      <c r="E570" t="s">
        <v>3912</v>
      </c>
      <c r="F570" t="s">
        <v>455</v>
      </c>
      <c r="G570" t="s">
        <v>2880</v>
      </c>
      <c r="H570" s="3" t="s">
        <v>2880</v>
      </c>
      <c r="I570" s="3">
        <v>41495</v>
      </c>
    </row>
    <row r="571" spans="1:9" x14ac:dyDescent="0.3">
      <c r="A571" s="2" t="str">
        <f>HYPERLINK("https://www.pcpacanada.ca/negotiation/20747", "Xalkori  (crizotinib)")</f>
        <v>Xalkori  (crizotinib)</v>
      </c>
      <c r="B571" t="s">
        <v>445</v>
      </c>
      <c r="C571" t="s">
        <v>2893</v>
      </c>
      <c r="D571" t="s">
        <v>3070</v>
      </c>
      <c r="E571" t="s">
        <v>3913</v>
      </c>
      <c r="F571" t="s">
        <v>445</v>
      </c>
      <c r="G571" t="s">
        <v>2880</v>
      </c>
      <c r="H571" s="3">
        <v>41422</v>
      </c>
      <c r="I571" s="3">
        <v>41494</v>
      </c>
    </row>
    <row r="572" spans="1:9" x14ac:dyDescent="0.3">
      <c r="A572" s="2" t="str">
        <f>HYPERLINK("https://www.pcpacanada.ca/negotiation/20746", "Fibristal  (ulipristal acetate)")</f>
        <v>Fibristal  (ulipristal acetate)</v>
      </c>
      <c r="B572" t="s">
        <v>434</v>
      </c>
      <c r="C572" t="s">
        <v>2893</v>
      </c>
      <c r="D572" t="s">
        <v>906</v>
      </c>
      <c r="E572" t="s">
        <v>3914</v>
      </c>
      <c r="F572" t="s">
        <v>434</v>
      </c>
      <c r="G572" t="s">
        <v>3915</v>
      </c>
      <c r="H572" s="3" t="s">
        <v>2880</v>
      </c>
      <c r="I572" s="3">
        <v>42265</v>
      </c>
    </row>
    <row r="573" spans="1:9" x14ac:dyDescent="0.3">
      <c r="A573" s="2" t="str">
        <f>HYPERLINK("https://www.pcpacanada.ca/negotiation/20745", "Firazyr  (icatibant)")</f>
        <v>Firazyr  (icatibant)</v>
      </c>
      <c r="B573" t="s">
        <v>2280</v>
      </c>
      <c r="C573" t="s">
        <v>2893</v>
      </c>
      <c r="D573" t="s">
        <v>3171</v>
      </c>
      <c r="E573" t="s">
        <v>3916</v>
      </c>
      <c r="F573" t="s">
        <v>2280</v>
      </c>
      <c r="G573" t="s">
        <v>916</v>
      </c>
      <c r="H573" s="3" t="s">
        <v>2880</v>
      </c>
      <c r="I573" s="3">
        <v>42244</v>
      </c>
    </row>
    <row r="574" spans="1:9" x14ac:dyDescent="0.3">
      <c r="A574" s="2" t="str">
        <f>HYPERLINK("https://www.pcpacanada.ca/negotiation/20744", "Invokana  (canagliflozin)")</f>
        <v>Invokana  (canagliflozin)</v>
      </c>
      <c r="B574" t="s">
        <v>665</v>
      </c>
      <c r="C574" t="s">
        <v>2893</v>
      </c>
      <c r="D574" t="s">
        <v>1192</v>
      </c>
      <c r="E574" t="s">
        <v>3917</v>
      </c>
      <c r="F574" t="s">
        <v>665</v>
      </c>
      <c r="G574" t="s">
        <v>1194</v>
      </c>
      <c r="H574" s="3" t="s">
        <v>2880</v>
      </c>
      <c r="I574" s="3">
        <v>42187</v>
      </c>
    </row>
    <row r="575" spans="1:9" x14ac:dyDescent="0.3">
      <c r="A575" s="2" t="str">
        <f>HYPERLINK("https://www.pcpacanada.ca/negotiation/20743", "Diacomit  (stiripentol)")</f>
        <v>Diacomit  (stiripentol)</v>
      </c>
      <c r="B575" t="s">
        <v>3918</v>
      </c>
      <c r="C575" t="s">
        <v>2893</v>
      </c>
      <c r="D575" t="s">
        <v>702</v>
      </c>
      <c r="E575" t="s">
        <v>3919</v>
      </c>
      <c r="F575" t="s">
        <v>3918</v>
      </c>
      <c r="G575" t="s">
        <v>703</v>
      </c>
      <c r="H575" s="3" t="s">
        <v>2880</v>
      </c>
      <c r="I575" s="3">
        <v>42135</v>
      </c>
    </row>
    <row r="576" spans="1:9" x14ac:dyDescent="0.3">
      <c r="A576" s="2" t="str">
        <f>HYPERLINK("https://www.pcpacanada.ca/negotiation/20742", "Triumeq  (dolutegravir/abacavir/lamivudine)")</f>
        <v>Triumeq  (dolutegravir/abacavir/lamivudine)</v>
      </c>
      <c r="B576" t="s">
        <v>715</v>
      </c>
      <c r="C576" t="s">
        <v>2893</v>
      </c>
      <c r="D576" t="s">
        <v>1909</v>
      </c>
      <c r="E576" t="s">
        <v>3920</v>
      </c>
      <c r="F576" t="s">
        <v>715</v>
      </c>
      <c r="G576" t="s">
        <v>3921</v>
      </c>
      <c r="H576" s="3" t="s">
        <v>2880</v>
      </c>
      <c r="I576" s="3">
        <v>42102</v>
      </c>
    </row>
    <row r="577" spans="1:9" x14ac:dyDescent="0.3">
      <c r="A577" s="2" t="str">
        <f>HYPERLINK("https://www.pcpacanada.ca/negotiation/20741", "Eylea  (aflibercept)")</f>
        <v>Eylea  (aflibercept)</v>
      </c>
      <c r="B577" t="s">
        <v>146</v>
      </c>
      <c r="C577" t="s">
        <v>2893</v>
      </c>
      <c r="D577" t="s">
        <v>3117</v>
      </c>
      <c r="E577" t="s">
        <v>3922</v>
      </c>
      <c r="F577" t="s">
        <v>146</v>
      </c>
      <c r="G577" t="s">
        <v>873</v>
      </c>
      <c r="H577" s="3" t="s">
        <v>2880</v>
      </c>
      <c r="I577" s="3">
        <v>42090</v>
      </c>
    </row>
    <row r="578" spans="1:9" x14ac:dyDescent="0.3">
      <c r="A578" s="2" t="str">
        <f>HYPERLINK("https://www.pcpacanada.ca/negotiation/20740", "Ibavyr  (ribavirin)")</f>
        <v>Ibavyr  (ribavirin)</v>
      </c>
      <c r="B578" t="s">
        <v>1003</v>
      </c>
      <c r="C578" t="s">
        <v>2893</v>
      </c>
      <c r="D578" t="s">
        <v>3325</v>
      </c>
      <c r="E578" t="s">
        <v>3923</v>
      </c>
      <c r="F578" t="s">
        <v>1003</v>
      </c>
      <c r="G578" t="s">
        <v>2880</v>
      </c>
      <c r="H578" s="3">
        <v>41928</v>
      </c>
      <c r="I578" s="3">
        <v>42066</v>
      </c>
    </row>
    <row r="579" spans="1:9" x14ac:dyDescent="0.3">
      <c r="A579" s="2" t="str">
        <f>HYPERLINK("https://www.pcpacanada.ca/negotiation/20739", "Halaven  (eribulin)")</f>
        <v>Halaven  (eribulin)</v>
      </c>
      <c r="B579" t="s">
        <v>224</v>
      </c>
      <c r="C579" t="s">
        <v>2893</v>
      </c>
      <c r="D579" t="s">
        <v>1016</v>
      </c>
      <c r="E579" t="s">
        <v>3924</v>
      </c>
      <c r="F579" t="s">
        <v>224</v>
      </c>
      <c r="G579" t="s">
        <v>3925</v>
      </c>
      <c r="H579" s="3">
        <v>41214</v>
      </c>
      <c r="I579" s="3">
        <v>41457</v>
      </c>
    </row>
    <row r="580" spans="1:9" x14ac:dyDescent="0.3">
      <c r="A580" s="2" t="str">
        <f>HYPERLINK("https://www.pcpacanada.ca/negotiation/20738", "Remicade  (infliximab)")</f>
        <v>Remicade  (infliximab)</v>
      </c>
      <c r="B580" t="s">
        <v>665</v>
      </c>
      <c r="C580" t="s">
        <v>2893</v>
      </c>
      <c r="D580" t="s">
        <v>3926</v>
      </c>
      <c r="E580" t="s">
        <v>3927</v>
      </c>
      <c r="F580" t="s">
        <v>665</v>
      </c>
      <c r="G580" t="s">
        <v>2880</v>
      </c>
      <c r="H580" s="3">
        <v>41942</v>
      </c>
      <c r="I580" s="3">
        <v>42058</v>
      </c>
    </row>
    <row r="581" spans="1:9" x14ac:dyDescent="0.3">
      <c r="A581" s="2" t="str">
        <f>HYPERLINK("https://www.pcpacanada.ca/negotiation/20737", "Harvoni  (ledipasvir/sofosbuvir)")</f>
        <v>Harvoni  (ledipasvir/sofosbuvir)</v>
      </c>
      <c r="B581" t="s">
        <v>539</v>
      </c>
      <c r="C581" t="s">
        <v>2893</v>
      </c>
      <c r="D581" t="s">
        <v>3325</v>
      </c>
      <c r="E581" t="s">
        <v>3928</v>
      </c>
      <c r="F581" t="s">
        <v>539</v>
      </c>
      <c r="G581" t="s">
        <v>3929</v>
      </c>
      <c r="H581" s="3" t="s">
        <v>2880</v>
      </c>
      <c r="I581" s="3">
        <v>42040</v>
      </c>
    </row>
    <row r="582" spans="1:9" x14ac:dyDescent="0.3">
      <c r="A582" s="2" t="str">
        <f>HYPERLINK("https://www.pcpacanada.ca/negotiation/20736", "Advair  (salmeterol xinafoate/fluticasone propionate)")</f>
        <v>Advair  (salmeterol xinafoate/fluticasone propionate)</v>
      </c>
      <c r="B582" t="s">
        <v>455</v>
      </c>
      <c r="C582" t="s">
        <v>2893</v>
      </c>
      <c r="D582" t="s">
        <v>3930</v>
      </c>
      <c r="E582" t="s">
        <v>3931</v>
      </c>
      <c r="F582" t="s">
        <v>455</v>
      </c>
      <c r="G582" t="s">
        <v>2880</v>
      </c>
      <c r="H582" s="3">
        <v>41918</v>
      </c>
      <c r="I582" s="3">
        <v>42038</v>
      </c>
    </row>
    <row r="583" spans="1:9" x14ac:dyDescent="0.3">
      <c r="A583" s="2" t="str">
        <f>HYPERLINK("https://www.pcpacanada.ca/negotiation/20735", "Valtrex  (valacyclovir)")</f>
        <v>Valtrex  (valacyclovir)</v>
      </c>
      <c r="B583" t="s">
        <v>455</v>
      </c>
      <c r="C583" t="s">
        <v>2893</v>
      </c>
      <c r="D583" t="s">
        <v>3932</v>
      </c>
      <c r="E583" t="s">
        <v>3933</v>
      </c>
      <c r="F583" t="s">
        <v>455</v>
      </c>
      <c r="G583" t="s">
        <v>2880</v>
      </c>
      <c r="H583" s="3">
        <v>41859</v>
      </c>
      <c r="I583" s="3">
        <v>42031</v>
      </c>
    </row>
    <row r="584" spans="1:9" x14ac:dyDescent="0.3">
      <c r="A584" s="2" t="str">
        <f>HYPERLINK("https://www.pcpacanada.ca/negotiation/20734", "Adempas  (riociguat)")</f>
        <v>Adempas  (riociguat)</v>
      </c>
      <c r="B584" t="s">
        <v>146</v>
      </c>
      <c r="C584" t="s">
        <v>2893</v>
      </c>
      <c r="D584" t="s">
        <v>3934</v>
      </c>
      <c r="E584" t="s">
        <v>3935</v>
      </c>
      <c r="F584" t="s">
        <v>146</v>
      </c>
      <c r="G584" t="s">
        <v>3936</v>
      </c>
      <c r="H584" s="3" t="s">
        <v>2880</v>
      </c>
      <c r="I584" s="3">
        <v>42027</v>
      </c>
    </row>
    <row r="585" spans="1:9" x14ac:dyDescent="0.3">
      <c r="A585" s="2" t="str">
        <f>HYPERLINK("https://www.pcpacanada.ca/negotiation/20733", "Onglyza  (saxagliptin)")</f>
        <v>Onglyza  (saxagliptin)</v>
      </c>
      <c r="B585" t="s">
        <v>465</v>
      </c>
      <c r="C585" t="s">
        <v>2893</v>
      </c>
      <c r="D585" t="s">
        <v>1192</v>
      </c>
      <c r="E585" t="s">
        <v>3937</v>
      </c>
      <c r="F585" t="s">
        <v>465</v>
      </c>
      <c r="G585" t="s">
        <v>3938</v>
      </c>
      <c r="H585" s="3" t="s">
        <v>2880</v>
      </c>
      <c r="I585" s="3">
        <v>42013</v>
      </c>
    </row>
    <row r="586" spans="1:9" x14ac:dyDescent="0.3">
      <c r="A586" s="2" t="str">
        <f>HYPERLINK("https://www.pcpacanada.ca/negotiation/20732", "Soliris  (eculizumab)")</f>
        <v>Soliris  (eculizumab)</v>
      </c>
      <c r="B586" t="s">
        <v>3056</v>
      </c>
      <c r="C586" t="s">
        <v>2893</v>
      </c>
      <c r="D586" t="s">
        <v>2145</v>
      </c>
      <c r="E586" t="s">
        <v>3939</v>
      </c>
      <c r="F586" t="s">
        <v>3056</v>
      </c>
      <c r="G586" t="s">
        <v>3940</v>
      </c>
      <c r="H586" s="3" t="s">
        <v>2880</v>
      </c>
      <c r="I586" s="3">
        <v>41917</v>
      </c>
    </row>
    <row r="587" spans="1:9" x14ac:dyDescent="0.3">
      <c r="A587" s="2" t="str">
        <f>HYPERLINK("https://www.pcpacanada.ca/negotiation/20731", "Aubagio  (teriflunomide)")</f>
        <v>Aubagio  (teriflunomide)</v>
      </c>
      <c r="B587" t="s">
        <v>3475</v>
      </c>
      <c r="C587" t="s">
        <v>2893</v>
      </c>
      <c r="D587" t="s">
        <v>1287</v>
      </c>
      <c r="E587" t="s">
        <v>3941</v>
      </c>
      <c r="F587" t="s">
        <v>3475</v>
      </c>
      <c r="G587" t="s">
        <v>3942</v>
      </c>
      <c r="H587" s="3" t="s">
        <v>2880</v>
      </c>
      <c r="I587" s="3">
        <v>41908</v>
      </c>
    </row>
    <row r="588" spans="1:9" x14ac:dyDescent="0.3">
      <c r="A588" s="2" t="str">
        <f>HYPERLINK("https://www.pcpacanada.ca/negotiation/20730", "Orencia  (abatacept)")</f>
        <v>Orencia  (abatacept)</v>
      </c>
      <c r="B588" t="s">
        <v>658</v>
      </c>
      <c r="C588" t="s">
        <v>2893</v>
      </c>
      <c r="D588" t="s">
        <v>3142</v>
      </c>
      <c r="E588" t="s">
        <v>3943</v>
      </c>
      <c r="F588" t="s">
        <v>658</v>
      </c>
      <c r="G588" t="s">
        <v>3944</v>
      </c>
      <c r="H588" s="3" t="s">
        <v>2880</v>
      </c>
      <c r="I588" s="3">
        <v>41892</v>
      </c>
    </row>
    <row r="589" spans="1:9" x14ac:dyDescent="0.3">
      <c r="A589" s="2" t="str">
        <f>HYPERLINK("https://www.pcpacanada.ca/negotiation/20729", "Galexos  (simeprevir)")</f>
        <v>Galexos  (simeprevir)</v>
      </c>
      <c r="B589" t="s">
        <v>665</v>
      </c>
      <c r="C589" t="s">
        <v>2893</v>
      </c>
      <c r="D589" t="s">
        <v>3325</v>
      </c>
      <c r="E589" t="s">
        <v>3945</v>
      </c>
      <c r="F589" t="s">
        <v>665</v>
      </c>
      <c r="G589" t="s">
        <v>3946</v>
      </c>
      <c r="H589" s="3" t="s">
        <v>2880</v>
      </c>
      <c r="I589" s="3">
        <v>41871</v>
      </c>
    </row>
    <row r="590" spans="1:9" x14ac:dyDescent="0.3">
      <c r="A590" s="2" t="str">
        <f>HYPERLINK("https://www.pcpacanada.ca/negotiation/20728", "Esbriet  (pirfenidone)")</f>
        <v>Esbriet  (pirfenidone)</v>
      </c>
      <c r="B590" t="s">
        <v>3068</v>
      </c>
      <c r="C590" t="s">
        <v>2893</v>
      </c>
      <c r="D590" t="s">
        <v>3662</v>
      </c>
      <c r="E590" t="s">
        <v>3947</v>
      </c>
      <c r="F590" t="s">
        <v>3068</v>
      </c>
      <c r="G590" t="s">
        <v>3948</v>
      </c>
      <c r="H590" s="3" t="s">
        <v>2880</v>
      </c>
      <c r="I590" s="3">
        <v>41866</v>
      </c>
    </row>
    <row r="591" spans="1:9" x14ac:dyDescent="0.3">
      <c r="A591" s="2" t="str">
        <f>HYPERLINK("https://www.pcpacanada.ca/negotiation/20727", "Tudorza Genuair  (aclidinium bromide)")</f>
        <v>Tudorza Genuair  (aclidinium bromide)</v>
      </c>
      <c r="B591" t="s">
        <v>465</v>
      </c>
      <c r="C591" t="s">
        <v>2893</v>
      </c>
      <c r="D591" t="s">
        <v>2488</v>
      </c>
      <c r="E591" t="s">
        <v>3949</v>
      </c>
      <c r="F591" t="s">
        <v>465</v>
      </c>
      <c r="G591" t="s">
        <v>3950</v>
      </c>
      <c r="H591" s="3" t="s">
        <v>2880</v>
      </c>
      <c r="I591" s="3">
        <v>41836</v>
      </c>
    </row>
    <row r="592" spans="1:9" x14ac:dyDescent="0.3">
      <c r="A592" s="2" t="str">
        <f>HYPERLINK("https://www.pcpacanada.ca/negotiation/20726", "Kalydeco  (ivacaftor)")</f>
        <v>Kalydeco  (ivacaftor)</v>
      </c>
      <c r="B592" t="s">
        <v>1279</v>
      </c>
      <c r="C592" t="s">
        <v>2893</v>
      </c>
      <c r="D592" t="s">
        <v>3951</v>
      </c>
      <c r="E592" t="s">
        <v>3952</v>
      </c>
      <c r="F592" t="s">
        <v>1279</v>
      </c>
      <c r="G592" t="s">
        <v>3953</v>
      </c>
      <c r="H592" s="3" t="s">
        <v>2880</v>
      </c>
      <c r="I592" s="3">
        <v>41806</v>
      </c>
    </row>
    <row r="593" spans="1:9" x14ac:dyDescent="0.3">
      <c r="A593" s="2" t="str">
        <f>HYPERLINK("https://www.pcpacanada.ca/negotiation/20725", "Lodalis  (colesevelam hydrochloride)")</f>
        <v>Lodalis  (colesevelam hydrochloride)</v>
      </c>
      <c r="B593" t="s">
        <v>3384</v>
      </c>
      <c r="C593" t="s">
        <v>2893</v>
      </c>
      <c r="D593" t="s">
        <v>1455</v>
      </c>
      <c r="E593" t="s">
        <v>3954</v>
      </c>
      <c r="F593" t="s">
        <v>3384</v>
      </c>
      <c r="G593" t="s">
        <v>3955</v>
      </c>
      <c r="H593" s="3" t="s">
        <v>2880</v>
      </c>
      <c r="I593" s="3">
        <v>41745</v>
      </c>
    </row>
    <row r="594" spans="1:9" x14ac:dyDescent="0.3">
      <c r="A594" s="2" t="str">
        <f>HYPERLINK("https://www.pcpacanada.ca/negotiation/20724", "Tecfidera  (dimethyl fumarate)")</f>
        <v>Tecfidera  (dimethyl fumarate)</v>
      </c>
      <c r="B594" t="s">
        <v>1874</v>
      </c>
      <c r="C594" t="s">
        <v>2893</v>
      </c>
      <c r="D594" t="s">
        <v>1287</v>
      </c>
      <c r="E594" t="s">
        <v>3956</v>
      </c>
      <c r="F594" t="s">
        <v>1874</v>
      </c>
      <c r="G594" t="s">
        <v>3957</v>
      </c>
      <c r="H594" s="3" t="s">
        <v>2880</v>
      </c>
      <c r="I594" s="3">
        <v>41739</v>
      </c>
    </row>
    <row r="595" spans="1:9" x14ac:dyDescent="0.3">
      <c r="A595" s="2" t="str">
        <f>HYPERLINK("https://www.pcpacanada.ca/negotiation/20723", "Treanda  (bendamustine hydrochloride)")</f>
        <v>Treanda  (bendamustine hydrochloride)</v>
      </c>
      <c r="B595" t="s">
        <v>568</v>
      </c>
      <c r="C595" t="s">
        <v>2893</v>
      </c>
      <c r="D595" t="s">
        <v>3958</v>
      </c>
      <c r="E595" t="s">
        <v>3959</v>
      </c>
      <c r="F595" t="s">
        <v>568</v>
      </c>
      <c r="G595" t="s">
        <v>3960</v>
      </c>
      <c r="H595" s="3">
        <v>41324</v>
      </c>
      <c r="I595" s="3">
        <v>41389</v>
      </c>
    </row>
    <row r="596" spans="1:9" x14ac:dyDescent="0.3">
      <c r="A596" s="2" t="str">
        <f>HYPERLINK("https://www.pcpacanada.ca/negotiation/20722", "Oralair  (grass pollen allergen extract)")</f>
        <v>Oralair  (grass pollen allergen extract)</v>
      </c>
      <c r="B596" t="s">
        <v>67</v>
      </c>
      <c r="C596" t="s">
        <v>2893</v>
      </c>
      <c r="D596" t="s">
        <v>3961</v>
      </c>
      <c r="E596" t="s">
        <v>3962</v>
      </c>
      <c r="F596" t="s">
        <v>67</v>
      </c>
      <c r="G596" t="s">
        <v>3963</v>
      </c>
      <c r="H596" s="3" t="s">
        <v>2880</v>
      </c>
      <c r="I596" s="3">
        <v>41687</v>
      </c>
    </row>
    <row r="597" spans="1:9" x14ac:dyDescent="0.3">
      <c r="A597" s="2" t="str">
        <f>HYPERLINK("https://www.pcpacanada.ca/negotiation/20721", "Benlysta  (belimumab)")</f>
        <v>Benlysta  (belimumab)</v>
      </c>
      <c r="B597" t="s">
        <v>455</v>
      </c>
      <c r="C597" t="s">
        <v>2908</v>
      </c>
      <c r="D597" t="s">
        <v>377</v>
      </c>
      <c r="E597" t="s">
        <v>3964</v>
      </c>
      <c r="F597" t="s">
        <v>455</v>
      </c>
      <c r="G597" t="s">
        <v>3965</v>
      </c>
      <c r="H597" s="3" t="s">
        <v>2880</v>
      </c>
      <c r="I597" s="3">
        <v>41670</v>
      </c>
    </row>
    <row r="598" spans="1:9" x14ac:dyDescent="0.3">
      <c r="A598" s="2" t="str">
        <f>HYPERLINK("https://www.pcpacanada.ca/negotiation/20720", "Mozobil  (plerixafor)")</f>
        <v>Mozobil  (plerixafor)</v>
      </c>
      <c r="B598" t="s">
        <v>152</v>
      </c>
      <c r="C598" t="s">
        <v>2893</v>
      </c>
      <c r="D598" t="s">
        <v>3652</v>
      </c>
      <c r="E598" t="s">
        <v>3966</v>
      </c>
      <c r="F598" t="s">
        <v>152</v>
      </c>
      <c r="G598" t="s">
        <v>3967</v>
      </c>
      <c r="H598" s="3" t="s">
        <v>2880</v>
      </c>
      <c r="I598" s="3">
        <v>41645</v>
      </c>
    </row>
    <row r="599" spans="1:9" x14ac:dyDescent="0.3">
      <c r="A599" s="2" t="str">
        <f>HYPERLINK("https://www.pcpacanada.ca/negotiation/20719", "Yervoy  (ipilimumab)")</f>
        <v>Yervoy  (ipilimumab)</v>
      </c>
      <c r="B599" t="s">
        <v>658</v>
      </c>
      <c r="C599" t="s">
        <v>2893</v>
      </c>
      <c r="D599" t="s">
        <v>447</v>
      </c>
      <c r="E599" t="s">
        <v>3968</v>
      </c>
      <c r="F599" t="s">
        <v>658</v>
      </c>
      <c r="G599" t="s">
        <v>3969</v>
      </c>
      <c r="H599" s="3">
        <v>41061</v>
      </c>
      <c r="I599" s="3">
        <v>41149</v>
      </c>
    </row>
    <row r="600" spans="1:9" x14ac:dyDescent="0.3">
      <c r="A600" s="2" t="str">
        <f>HYPERLINK("https://www.pcpacanada.ca/negotiation/20718", "Dificid  (fidaxomicin)")</f>
        <v>Dificid  (fidaxomicin)</v>
      </c>
      <c r="B600" t="s">
        <v>3970</v>
      </c>
      <c r="C600" t="s">
        <v>2893</v>
      </c>
      <c r="D600" t="s">
        <v>706</v>
      </c>
      <c r="E600" t="s">
        <v>3971</v>
      </c>
      <c r="F600" t="s">
        <v>3970</v>
      </c>
      <c r="G600" t="s">
        <v>3972</v>
      </c>
      <c r="H600" s="3" t="s">
        <v>2880</v>
      </c>
      <c r="I600" s="3">
        <v>41591</v>
      </c>
    </row>
    <row r="601" spans="1:9" x14ac:dyDescent="0.3">
      <c r="A601" s="2" t="str">
        <f>HYPERLINK("https://www.pcpacanada.ca/negotiation/20717", "Eliquis  (apixaban)")</f>
        <v>Eliquis  (apixaban)</v>
      </c>
      <c r="B601" t="s">
        <v>658</v>
      </c>
      <c r="C601" t="s">
        <v>2893</v>
      </c>
      <c r="D601" t="s">
        <v>781</v>
      </c>
      <c r="E601" t="s">
        <v>3973</v>
      </c>
      <c r="F601" t="s">
        <v>658</v>
      </c>
      <c r="G601" t="s">
        <v>3974</v>
      </c>
      <c r="H601" s="3" t="s">
        <v>2880</v>
      </c>
      <c r="I601" s="3">
        <v>41557</v>
      </c>
    </row>
    <row r="602" spans="1:9" x14ac:dyDescent="0.3">
      <c r="A602" s="2" t="str">
        <f>HYPERLINK("https://www.pcpacanada.ca/negotiation/20716", "Replagal  (agalsidase alfa)")</f>
        <v>Replagal  (agalsidase alfa)</v>
      </c>
      <c r="B602" t="s">
        <v>2280</v>
      </c>
      <c r="C602" t="s">
        <v>2893</v>
      </c>
      <c r="D602" t="s">
        <v>3439</v>
      </c>
      <c r="E602" t="s">
        <v>3975</v>
      </c>
      <c r="F602" t="s">
        <v>2280</v>
      </c>
      <c r="G602" t="s">
        <v>2880</v>
      </c>
      <c r="H602" s="3" t="s">
        <v>2880</v>
      </c>
      <c r="I602" s="3">
        <v>41541</v>
      </c>
    </row>
    <row r="603" spans="1:9" x14ac:dyDescent="0.3">
      <c r="A603" s="2" t="str">
        <f>HYPERLINK("https://www.pcpacanada.ca/negotiation/20715", "Fabrazyme  (agalsidase beta)")</f>
        <v>Fabrazyme  (agalsidase beta)</v>
      </c>
      <c r="B603" t="s">
        <v>3475</v>
      </c>
      <c r="C603" t="s">
        <v>2893</v>
      </c>
      <c r="D603" t="s">
        <v>3439</v>
      </c>
      <c r="E603" t="s">
        <v>3976</v>
      </c>
      <c r="F603" t="s">
        <v>3475</v>
      </c>
      <c r="G603" t="s">
        <v>3977</v>
      </c>
      <c r="H603" s="3" t="s">
        <v>2880</v>
      </c>
      <c r="I603" s="3">
        <v>41537</v>
      </c>
    </row>
    <row r="604" spans="1:9" x14ac:dyDescent="0.3">
      <c r="A604" s="2" t="str">
        <f>HYPERLINK("https://www.pcpacanada.ca/negotiation/20714", "Brilinta  (ticagrelor)")</f>
        <v>Brilinta  (ticagrelor)</v>
      </c>
      <c r="B604" t="s">
        <v>465</v>
      </c>
      <c r="C604" t="s">
        <v>2893</v>
      </c>
      <c r="D604" t="s">
        <v>3978</v>
      </c>
      <c r="E604" t="s">
        <v>3979</v>
      </c>
      <c r="F604" t="s">
        <v>465</v>
      </c>
      <c r="G604" t="s">
        <v>3980</v>
      </c>
      <c r="H604" s="3" t="s">
        <v>2880</v>
      </c>
      <c r="I604" s="3">
        <v>41164</v>
      </c>
    </row>
    <row r="605" spans="1:9" x14ac:dyDescent="0.3">
      <c r="A605" s="2"/>
      <c r="H605" s="3"/>
      <c r="I605" s="3"/>
    </row>
    <row r="606" spans="1:9" x14ac:dyDescent="0.3">
      <c r="A606" s="2"/>
      <c r="H606" s="3"/>
      <c r="I606" s="3"/>
    </row>
    <row r="607" spans="1:9" x14ac:dyDescent="0.3">
      <c r="A607" s="2"/>
      <c r="H607" s="3"/>
      <c r="I607" s="3"/>
    </row>
    <row r="608" spans="1:9" x14ac:dyDescent="0.3">
      <c r="A608" s="2"/>
      <c r="H608" s="3"/>
      <c r="I608" s="3"/>
    </row>
    <row r="609" spans="1:9" x14ac:dyDescent="0.3">
      <c r="A609" s="2"/>
      <c r="H609" s="3"/>
      <c r="I609" s="3"/>
    </row>
    <row r="610" spans="1:9" x14ac:dyDescent="0.3">
      <c r="A610" s="2"/>
      <c r="H610" s="3"/>
      <c r="I610" s="3"/>
    </row>
    <row r="611" spans="1:9" x14ac:dyDescent="0.3">
      <c r="A611" s="2"/>
      <c r="H611" s="3"/>
      <c r="I611" s="3"/>
    </row>
    <row r="612" spans="1:9" x14ac:dyDescent="0.3">
      <c r="A612" s="2"/>
      <c r="H612" s="3"/>
      <c r="I612" s="3"/>
    </row>
    <row r="613" spans="1:9" x14ac:dyDescent="0.3">
      <c r="A613" s="2"/>
      <c r="H613" s="3"/>
      <c r="I613" s="3"/>
    </row>
    <row r="614" spans="1:9" x14ac:dyDescent="0.3">
      <c r="A614" s="2"/>
      <c r="H614" s="3"/>
      <c r="I614" s="3"/>
    </row>
    <row r="615" spans="1:9" x14ac:dyDescent="0.3">
      <c r="A615" s="2"/>
      <c r="H615" s="3"/>
      <c r="I615" s="3"/>
    </row>
    <row r="616" spans="1:9" x14ac:dyDescent="0.3">
      <c r="A616" s="2"/>
      <c r="H616" s="3"/>
      <c r="I616" s="3"/>
    </row>
    <row r="617" spans="1:9" x14ac:dyDescent="0.3">
      <c r="A617" s="2"/>
      <c r="H617" s="3"/>
      <c r="I617" s="3"/>
    </row>
    <row r="618" spans="1:9" x14ac:dyDescent="0.3">
      <c r="A618" s="2"/>
      <c r="H618" s="3"/>
      <c r="I618" s="3"/>
    </row>
    <row r="619" spans="1:9" x14ac:dyDescent="0.3">
      <c r="A619" s="2"/>
      <c r="H619" s="3"/>
      <c r="I619" s="3"/>
    </row>
    <row r="620" spans="1:9" x14ac:dyDescent="0.3">
      <c r="A620" s="2"/>
      <c r="H620" s="3"/>
      <c r="I620" s="3"/>
    </row>
    <row r="621" spans="1:9" x14ac:dyDescent="0.3">
      <c r="A621" s="2"/>
      <c r="H621" s="3"/>
      <c r="I621" s="3"/>
    </row>
    <row r="622" spans="1:9" x14ac:dyDescent="0.3">
      <c r="A622" s="2"/>
      <c r="H622" s="3"/>
      <c r="I622" s="3"/>
    </row>
    <row r="623" spans="1:9" x14ac:dyDescent="0.3">
      <c r="A623" s="2"/>
      <c r="H623" s="3"/>
      <c r="I623" s="3"/>
    </row>
    <row r="624" spans="1:9" x14ac:dyDescent="0.3">
      <c r="A624" s="2"/>
      <c r="H624" s="3"/>
      <c r="I624" s="3"/>
    </row>
    <row r="625" spans="1:9" x14ac:dyDescent="0.3">
      <c r="A625" s="2"/>
      <c r="H625" s="3"/>
      <c r="I625" s="3"/>
    </row>
    <row r="626" spans="1:9" x14ac:dyDescent="0.3">
      <c r="A626" s="2"/>
      <c r="H626" s="3"/>
      <c r="I626" s="3"/>
    </row>
    <row r="627" spans="1:9" x14ac:dyDescent="0.3">
      <c r="A627" s="2"/>
      <c r="H627" s="3"/>
      <c r="I627" s="3"/>
    </row>
    <row r="628" spans="1:9" x14ac:dyDescent="0.3">
      <c r="A628" s="2"/>
      <c r="H628" s="3"/>
      <c r="I628" s="3"/>
    </row>
    <row r="629" spans="1:9" x14ac:dyDescent="0.3">
      <c r="A629" s="2"/>
      <c r="H629" s="3"/>
      <c r="I629" s="3"/>
    </row>
    <row r="630" spans="1:9" x14ac:dyDescent="0.3">
      <c r="A630" s="2"/>
      <c r="H630" s="3"/>
      <c r="I630" s="3"/>
    </row>
    <row r="631" spans="1:9" x14ac:dyDescent="0.3">
      <c r="A631" s="2"/>
      <c r="H631" s="3"/>
      <c r="I631" s="3"/>
    </row>
    <row r="632" spans="1:9" x14ac:dyDescent="0.3">
      <c r="A632" s="2"/>
      <c r="H632" s="3"/>
      <c r="I632" s="3"/>
    </row>
    <row r="633" spans="1:9" x14ac:dyDescent="0.3">
      <c r="A633" s="2"/>
      <c r="H633" s="3"/>
      <c r="I633" s="3"/>
    </row>
    <row r="634" spans="1:9" x14ac:dyDescent="0.3">
      <c r="A634" s="2"/>
      <c r="H634" s="3"/>
      <c r="I634" s="3"/>
    </row>
    <row r="635" spans="1:9" x14ac:dyDescent="0.3">
      <c r="A635" s="2"/>
      <c r="H635" s="3"/>
      <c r="I635" s="3"/>
    </row>
    <row r="636" spans="1:9" x14ac:dyDescent="0.3">
      <c r="A636" s="2"/>
      <c r="H636" s="3"/>
      <c r="I636" s="3"/>
    </row>
    <row r="637" spans="1:9" x14ac:dyDescent="0.3">
      <c r="A637" s="2"/>
      <c r="H637" s="3"/>
      <c r="I637" s="3"/>
    </row>
    <row r="638" spans="1:9" x14ac:dyDescent="0.3">
      <c r="A638" s="2"/>
      <c r="H638" s="3"/>
      <c r="I638" s="3"/>
    </row>
    <row r="639" spans="1:9" x14ac:dyDescent="0.3">
      <c r="A639" s="2"/>
      <c r="H639" s="3"/>
      <c r="I639" s="3"/>
    </row>
    <row r="640" spans="1:9" x14ac:dyDescent="0.3">
      <c r="A640" s="2"/>
      <c r="H640" s="3"/>
      <c r="I640" s="3"/>
    </row>
    <row r="641" spans="1:9" x14ac:dyDescent="0.3">
      <c r="A641" s="2"/>
      <c r="H641" s="3"/>
      <c r="I641" s="3"/>
    </row>
    <row r="642" spans="1:9" x14ac:dyDescent="0.3">
      <c r="A642" s="2"/>
      <c r="H642" s="3"/>
      <c r="I642" s="3"/>
    </row>
    <row r="643" spans="1:9" x14ac:dyDescent="0.3">
      <c r="A643" s="2"/>
      <c r="H643" s="3"/>
      <c r="I643" s="3"/>
    </row>
    <row r="644" spans="1:9" x14ac:dyDescent="0.3">
      <c r="A644" s="2"/>
      <c r="H644" s="3"/>
      <c r="I644" s="3"/>
    </row>
    <row r="645" spans="1:9" x14ac:dyDescent="0.3">
      <c r="A645" s="2"/>
      <c r="H645" s="3"/>
      <c r="I645" s="3"/>
    </row>
    <row r="646" spans="1:9" x14ac:dyDescent="0.3">
      <c r="A646" s="2"/>
      <c r="H646" s="3"/>
      <c r="I646" s="3"/>
    </row>
    <row r="647" spans="1:9" x14ac:dyDescent="0.3">
      <c r="A647" s="2"/>
      <c r="H647" s="3"/>
      <c r="I647" s="3"/>
    </row>
    <row r="648" spans="1:9" x14ac:dyDescent="0.3">
      <c r="A648" s="2"/>
      <c r="H648" s="3"/>
      <c r="I648" s="3"/>
    </row>
    <row r="649" spans="1:9" x14ac:dyDescent="0.3">
      <c r="A649" s="2"/>
      <c r="H649" s="3"/>
      <c r="I649" s="3"/>
    </row>
    <row r="650" spans="1:9" x14ac:dyDescent="0.3">
      <c r="A650" s="2"/>
      <c r="H650" s="3"/>
      <c r="I650" s="3"/>
    </row>
    <row r="651" spans="1:9" x14ac:dyDescent="0.3">
      <c r="A651" s="2"/>
      <c r="H651" s="3"/>
      <c r="I651" s="3"/>
    </row>
    <row r="652" spans="1:9" x14ac:dyDescent="0.3">
      <c r="A652" s="2"/>
      <c r="H652" s="3"/>
      <c r="I652" s="3"/>
    </row>
    <row r="653" spans="1:9" x14ac:dyDescent="0.3">
      <c r="A653" s="2"/>
      <c r="H653" s="3"/>
      <c r="I653" s="3"/>
    </row>
    <row r="654" spans="1:9" x14ac:dyDescent="0.3">
      <c r="A654" s="2"/>
      <c r="H654" s="3"/>
      <c r="I654" s="3"/>
    </row>
    <row r="655" spans="1:9" x14ac:dyDescent="0.3">
      <c r="A655" s="2"/>
      <c r="H655" s="3"/>
      <c r="I655" s="3"/>
    </row>
    <row r="656" spans="1:9" x14ac:dyDescent="0.3">
      <c r="A656" s="2"/>
      <c r="H656" s="3"/>
      <c r="I656" s="3"/>
    </row>
    <row r="657" spans="1:9" x14ac:dyDescent="0.3">
      <c r="A657" s="2"/>
      <c r="H657" s="3"/>
      <c r="I657" s="3"/>
    </row>
    <row r="658" spans="1:9" x14ac:dyDescent="0.3">
      <c r="A658" s="2"/>
      <c r="H658" s="3"/>
      <c r="I658" s="3"/>
    </row>
    <row r="659" spans="1:9" x14ac:dyDescent="0.3">
      <c r="A659" s="2"/>
      <c r="H659" s="3"/>
      <c r="I659" s="3"/>
    </row>
    <row r="660" spans="1:9" x14ac:dyDescent="0.3">
      <c r="A660" s="2"/>
      <c r="H660" s="3"/>
      <c r="I660" s="3"/>
    </row>
    <row r="661" spans="1:9" x14ac:dyDescent="0.3">
      <c r="A661" s="2"/>
      <c r="H661" s="3"/>
      <c r="I661" s="3"/>
    </row>
    <row r="662" spans="1:9" x14ac:dyDescent="0.3">
      <c r="A662" s="2"/>
      <c r="H662" s="3"/>
      <c r="I662" s="3"/>
    </row>
    <row r="663" spans="1:9" x14ac:dyDescent="0.3">
      <c r="A663" s="2"/>
      <c r="H663" s="3"/>
      <c r="I663" s="3"/>
    </row>
    <row r="664" spans="1:9" x14ac:dyDescent="0.3">
      <c r="A664" s="2"/>
      <c r="H664" s="3"/>
      <c r="I664" s="3"/>
    </row>
    <row r="665" spans="1:9" x14ac:dyDescent="0.3">
      <c r="A665" s="2"/>
      <c r="H665" s="3"/>
      <c r="I665" s="3"/>
    </row>
    <row r="666" spans="1:9" x14ac:dyDescent="0.3">
      <c r="A666" s="2"/>
      <c r="H666" s="3"/>
      <c r="I666" s="3"/>
    </row>
    <row r="667" spans="1:9" x14ac:dyDescent="0.3">
      <c r="A667" s="2"/>
      <c r="H667" s="3"/>
      <c r="I667" s="3"/>
    </row>
    <row r="668" spans="1:9" x14ac:dyDescent="0.3">
      <c r="A668" s="2"/>
      <c r="H668" s="3"/>
      <c r="I668" s="3"/>
    </row>
    <row r="669" spans="1:9" x14ac:dyDescent="0.3">
      <c r="A669" s="2"/>
      <c r="H669" s="3"/>
      <c r="I669" s="3"/>
    </row>
    <row r="670" spans="1:9" x14ac:dyDescent="0.3">
      <c r="A670" s="2"/>
      <c r="H670" s="3"/>
      <c r="I670" s="3"/>
    </row>
    <row r="671" spans="1:9" x14ac:dyDescent="0.3">
      <c r="A671" s="2"/>
      <c r="H671" s="3"/>
      <c r="I671" s="3"/>
    </row>
    <row r="672" spans="1:9" x14ac:dyDescent="0.3">
      <c r="A672" s="2"/>
      <c r="H672" s="3"/>
      <c r="I672" s="3"/>
    </row>
    <row r="673" spans="1:9" x14ac:dyDescent="0.3">
      <c r="A673" s="2"/>
      <c r="H673" s="3"/>
      <c r="I673" s="3"/>
    </row>
    <row r="674" spans="1:9" x14ac:dyDescent="0.3">
      <c r="A674" s="2"/>
      <c r="H674" s="3"/>
      <c r="I674" s="3"/>
    </row>
    <row r="675" spans="1:9" x14ac:dyDescent="0.3">
      <c r="A675" s="2"/>
      <c r="H675" s="3"/>
      <c r="I675" s="3"/>
    </row>
    <row r="676" spans="1:9" x14ac:dyDescent="0.3">
      <c r="A676" s="2"/>
      <c r="H676" s="3"/>
      <c r="I676" s="3"/>
    </row>
    <row r="677" spans="1:9" x14ac:dyDescent="0.3">
      <c r="A677" s="2"/>
      <c r="H677" s="3"/>
      <c r="I677" s="3"/>
    </row>
    <row r="678" spans="1:9" x14ac:dyDescent="0.3">
      <c r="A678" s="2"/>
      <c r="H678" s="3"/>
      <c r="I678" s="3"/>
    </row>
    <row r="679" spans="1:9" x14ac:dyDescent="0.3">
      <c r="A679" s="2"/>
      <c r="H679" s="3"/>
      <c r="I679" s="3"/>
    </row>
    <row r="680" spans="1:9" x14ac:dyDescent="0.3">
      <c r="A680" s="2"/>
      <c r="H680" s="3"/>
      <c r="I680" s="3"/>
    </row>
    <row r="681" spans="1:9" x14ac:dyDescent="0.3">
      <c r="A681" s="2"/>
      <c r="H681" s="3"/>
      <c r="I681" s="3"/>
    </row>
    <row r="682" spans="1:9" x14ac:dyDescent="0.3">
      <c r="A682" s="2"/>
      <c r="H682" s="3"/>
      <c r="I682" s="3"/>
    </row>
    <row r="683" spans="1:9" x14ac:dyDescent="0.3">
      <c r="A683" s="2"/>
      <c r="H683" s="3"/>
      <c r="I683" s="3"/>
    </row>
    <row r="684" spans="1:9" x14ac:dyDescent="0.3">
      <c r="A684" s="2"/>
      <c r="H684" s="3"/>
      <c r="I684" s="3"/>
    </row>
    <row r="685" spans="1:9" x14ac:dyDescent="0.3">
      <c r="A685" s="2"/>
      <c r="H685" s="3"/>
      <c r="I685" s="3"/>
    </row>
    <row r="686" spans="1:9" x14ac:dyDescent="0.3">
      <c r="A686" s="2"/>
      <c r="H686" s="3"/>
      <c r="I686" s="3"/>
    </row>
    <row r="687" spans="1:9" x14ac:dyDescent="0.3">
      <c r="A687" s="2"/>
      <c r="H687" s="3"/>
      <c r="I687" s="3"/>
    </row>
    <row r="688" spans="1:9" x14ac:dyDescent="0.3">
      <c r="A688" s="2"/>
      <c r="H688" s="3"/>
      <c r="I688" s="3"/>
    </row>
    <row r="689" spans="1:9" x14ac:dyDescent="0.3">
      <c r="A689" s="2"/>
      <c r="H689" s="3"/>
      <c r="I689" s="3"/>
    </row>
    <row r="690" spans="1:9" x14ac:dyDescent="0.3">
      <c r="A690" s="2"/>
      <c r="H690" s="3"/>
      <c r="I690" s="3"/>
    </row>
    <row r="691" spans="1:9" x14ac:dyDescent="0.3">
      <c r="A691" s="2"/>
      <c r="H691" s="3"/>
      <c r="I691" s="3"/>
    </row>
    <row r="692" spans="1:9" x14ac:dyDescent="0.3">
      <c r="A692" s="2"/>
      <c r="H692" s="3"/>
      <c r="I692" s="3"/>
    </row>
    <row r="693" spans="1:9" x14ac:dyDescent="0.3">
      <c r="A693" s="2"/>
      <c r="H693" s="3"/>
      <c r="I693" s="3"/>
    </row>
    <row r="694" spans="1:9" x14ac:dyDescent="0.3">
      <c r="A694" s="2"/>
      <c r="H694" s="3"/>
      <c r="I694" s="3"/>
    </row>
    <row r="695" spans="1:9" x14ac:dyDescent="0.3">
      <c r="A695" s="2"/>
      <c r="H695" s="3"/>
      <c r="I695" s="3"/>
    </row>
    <row r="696" spans="1:9" x14ac:dyDescent="0.3">
      <c r="A696" s="2"/>
      <c r="H696" s="3"/>
      <c r="I696" s="3"/>
    </row>
    <row r="697" spans="1:9" x14ac:dyDescent="0.3">
      <c r="A697" s="2"/>
      <c r="H697" s="3"/>
      <c r="I697" s="3"/>
    </row>
    <row r="698" spans="1:9" x14ac:dyDescent="0.3">
      <c r="A698" s="2"/>
      <c r="H698" s="3"/>
      <c r="I698" s="3"/>
    </row>
    <row r="699" spans="1:9" x14ac:dyDescent="0.3">
      <c r="A699" s="2"/>
      <c r="H699" s="3"/>
      <c r="I699" s="3"/>
    </row>
    <row r="700" spans="1:9" x14ac:dyDescent="0.3">
      <c r="A700" s="2"/>
      <c r="H700" s="3"/>
      <c r="I700" s="3"/>
    </row>
    <row r="701" spans="1:9" x14ac:dyDescent="0.3">
      <c r="A701" s="2"/>
      <c r="H701" s="3"/>
      <c r="I701" s="3"/>
    </row>
    <row r="702" spans="1:9" x14ac:dyDescent="0.3">
      <c r="A702" s="2"/>
      <c r="H702" s="3"/>
      <c r="I702" s="3"/>
    </row>
    <row r="703" spans="1:9" x14ac:dyDescent="0.3">
      <c r="A703" s="2"/>
      <c r="H703" s="3"/>
      <c r="I703" s="3"/>
    </row>
    <row r="704" spans="1:9" x14ac:dyDescent="0.3">
      <c r="A704" s="2"/>
      <c r="H704" s="3"/>
      <c r="I704" s="3"/>
    </row>
    <row r="705" spans="1:9" x14ac:dyDescent="0.3">
      <c r="A705" s="2"/>
      <c r="H705" s="3"/>
      <c r="I705" s="3"/>
    </row>
    <row r="706" spans="1:9" x14ac:dyDescent="0.3">
      <c r="A706" s="2"/>
      <c r="H706" s="3"/>
      <c r="I706" s="3"/>
    </row>
    <row r="707" spans="1:9" x14ac:dyDescent="0.3">
      <c r="A707" s="2"/>
      <c r="H707" s="3"/>
      <c r="I707" s="3"/>
    </row>
    <row r="708" spans="1:9" x14ac:dyDescent="0.3">
      <c r="A708" s="2"/>
      <c r="H708" s="3"/>
      <c r="I708" s="3"/>
    </row>
    <row r="709" spans="1:9" x14ac:dyDescent="0.3">
      <c r="A709" s="2"/>
      <c r="H709" s="3"/>
      <c r="I709" s="3"/>
    </row>
    <row r="710" spans="1:9" x14ac:dyDescent="0.3">
      <c r="A710" s="2"/>
      <c r="H710" s="3"/>
      <c r="I710" s="3"/>
    </row>
    <row r="711" spans="1:9" x14ac:dyDescent="0.3">
      <c r="A711" s="2"/>
      <c r="H711" s="3"/>
      <c r="I711" s="3"/>
    </row>
    <row r="712" spans="1:9" x14ac:dyDescent="0.3">
      <c r="A712" s="2"/>
      <c r="H712" s="3"/>
      <c r="I712" s="3"/>
    </row>
    <row r="713" spans="1:9" x14ac:dyDescent="0.3">
      <c r="A713" s="2"/>
      <c r="H713" s="3"/>
      <c r="I713" s="3"/>
    </row>
    <row r="714" spans="1:9" x14ac:dyDescent="0.3">
      <c r="A714" s="2"/>
      <c r="H714" s="3"/>
      <c r="I714" s="3"/>
    </row>
    <row r="715" spans="1:9" x14ac:dyDescent="0.3">
      <c r="A715" s="2"/>
      <c r="H715" s="3"/>
      <c r="I715" s="3"/>
    </row>
    <row r="716" spans="1:9" x14ac:dyDescent="0.3">
      <c r="A716" s="2"/>
      <c r="H716" s="3"/>
      <c r="I716" s="3"/>
    </row>
    <row r="717" spans="1:9" x14ac:dyDescent="0.3">
      <c r="A717" s="2"/>
      <c r="H717" s="3"/>
      <c r="I717" s="3"/>
    </row>
    <row r="718" spans="1:9" x14ac:dyDescent="0.3">
      <c r="A718" s="2"/>
      <c r="H718" s="3"/>
      <c r="I718" s="3"/>
    </row>
    <row r="719" spans="1:9" x14ac:dyDescent="0.3">
      <c r="A719" s="2"/>
      <c r="H719" s="3"/>
      <c r="I719" s="3"/>
    </row>
    <row r="720" spans="1:9" x14ac:dyDescent="0.3">
      <c r="A720" s="2"/>
      <c r="H720" s="3"/>
      <c r="I720" s="3"/>
    </row>
    <row r="721" spans="1:9" x14ac:dyDescent="0.3">
      <c r="A721" s="2"/>
      <c r="H721" s="3"/>
      <c r="I721" s="3"/>
    </row>
    <row r="722" spans="1:9" x14ac:dyDescent="0.3">
      <c r="A722" s="2"/>
      <c r="H722" s="3"/>
      <c r="I722" s="3"/>
    </row>
    <row r="723" spans="1:9" x14ac:dyDescent="0.3">
      <c r="A723" s="2"/>
      <c r="H723" s="3"/>
      <c r="I723" s="3"/>
    </row>
    <row r="724" spans="1:9" x14ac:dyDescent="0.3">
      <c r="A724" s="2"/>
      <c r="H724" s="3"/>
      <c r="I724" s="3"/>
    </row>
    <row r="725" spans="1:9" x14ac:dyDescent="0.3">
      <c r="A725" s="2"/>
      <c r="H725" s="3"/>
      <c r="I725" s="3"/>
    </row>
    <row r="726" spans="1:9" x14ac:dyDescent="0.3">
      <c r="A726" s="2"/>
      <c r="H726" s="3"/>
      <c r="I726" s="3"/>
    </row>
    <row r="727" spans="1:9" x14ac:dyDescent="0.3">
      <c r="A727" s="2"/>
      <c r="H727" s="3"/>
      <c r="I727" s="3"/>
    </row>
    <row r="728" spans="1:9" x14ac:dyDescent="0.3">
      <c r="A728" s="2"/>
      <c r="H728" s="3"/>
      <c r="I728" s="3"/>
    </row>
    <row r="729" spans="1:9" x14ac:dyDescent="0.3">
      <c r="A729" s="2"/>
      <c r="H729" s="3"/>
      <c r="I729" s="3"/>
    </row>
    <row r="730" spans="1:9" x14ac:dyDescent="0.3">
      <c r="A730" s="2"/>
      <c r="H730" s="3"/>
      <c r="I730" s="3"/>
    </row>
    <row r="731" spans="1:9" x14ac:dyDescent="0.3">
      <c r="A731" s="2"/>
      <c r="H731" s="3"/>
      <c r="I731" s="3"/>
    </row>
    <row r="732" spans="1:9" x14ac:dyDescent="0.3">
      <c r="A732" s="2"/>
      <c r="H732" s="3"/>
      <c r="I732" s="3"/>
    </row>
    <row r="733" spans="1:9" x14ac:dyDescent="0.3">
      <c r="A733" s="2"/>
      <c r="H733" s="3"/>
      <c r="I733" s="3"/>
    </row>
    <row r="734" spans="1:9" x14ac:dyDescent="0.3">
      <c r="A734" s="2"/>
      <c r="H734" s="3"/>
      <c r="I734" s="3"/>
    </row>
    <row r="735" spans="1:9" x14ac:dyDescent="0.3">
      <c r="A735" s="2"/>
      <c r="H735" s="3"/>
      <c r="I735" s="3"/>
    </row>
    <row r="736" spans="1:9" x14ac:dyDescent="0.3">
      <c r="A736" s="2"/>
      <c r="H736" s="3"/>
      <c r="I736" s="3"/>
    </row>
    <row r="737" spans="1:9" x14ac:dyDescent="0.3">
      <c r="A737" s="2"/>
      <c r="H737" s="3"/>
      <c r="I737" s="3"/>
    </row>
    <row r="738" spans="1:9" x14ac:dyDescent="0.3">
      <c r="A738" s="2"/>
      <c r="H738" s="3"/>
      <c r="I738" s="3"/>
    </row>
    <row r="739" spans="1:9" x14ac:dyDescent="0.3">
      <c r="A739" s="2"/>
      <c r="H739" s="3"/>
      <c r="I739" s="3"/>
    </row>
    <row r="740" spans="1:9" x14ac:dyDescent="0.3">
      <c r="A740" s="2"/>
      <c r="H740" s="3"/>
      <c r="I740" s="3"/>
    </row>
    <row r="741" spans="1:9" x14ac:dyDescent="0.3">
      <c r="A741" s="2"/>
      <c r="H741" s="3"/>
      <c r="I741" s="3"/>
    </row>
    <row r="742" spans="1:9" x14ac:dyDescent="0.3">
      <c r="A742" s="2"/>
      <c r="H742" s="3"/>
      <c r="I742" s="3"/>
    </row>
    <row r="743" spans="1:9" x14ac:dyDescent="0.3">
      <c r="A743" s="2"/>
      <c r="H743" s="3"/>
      <c r="I743" s="3"/>
    </row>
    <row r="744" spans="1:9" x14ac:dyDescent="0.3">
      <c r="A744" s="2"/>
      <c r="H744" s="3"/>
      <c r="I744" s="3"/>
    </row>
    <row r="745" spans="1:9" x14ac:dyDescent="0.3">
      <c r="A745" s="2"/>
      <c r="H745" s="3"/>
      <c r="I745" s="3"/>
    </row>
    <row r="746" spans="1:9" x14ac:dyDescent="0.3">
      <c r="A746" s="2"/>
      <c r="H746" s="3"/>
      <c r="I746" s="3"/>
    </row>
    <row r="747" spans="1:9" x14ac:dyDescent="0.3">
      <c r="A747" s="2"/>
      <c r="H747" s="3"/>
      <c r="I747" s="3"/>
    </row>
    <row r="748" spans="1:9" x14ac:dyDescent="0.3">
      <c r="A748" s="2"/>
      <c r="H748" s="3"/>
      <c r="I748" s="3"/>
    </row>
    <row r="749" spans="1:9" x14ac:dyDescent="0.3">
      <c r="A749" s="2"/>
      <c r="H749" s="3"/>
      <c r="I749" s="3"/>
    </row>
    <row r="750" spans="1:9" x14ac:dyDescent="0.3">
      <c r="A750" s="2"/>
      <c r="H750" s="3"/>
      <c r="I750" s="3"/>
    </row>
    <row r="751" spans="1:9" x14ac:dyDescent="0.3">
      <c r="A751" s="2"/>
      <c r="H751" s="3"/>
      <c r="I751" s="3"/>
    </row>
    <row r="752" spans="1:9" x14ac:dyDescent="0.3">
      <c r="A752" s="2"/>
      <c r="H752" s="3"/>
      <c r="I752" s="3"/>
    </row>
    <row r="753" spans="1:9" x14ac:dyDescent="0.3">
      <c r="A753" s="2"/>
      <c r="H753" s="3"/>
      <c r="I753" s="3"/>
    </row>
    <row r="754" spans="1:9" x14ac:dyDescent="0.3">
      <c r="A754" s="2"/>
      <c r="H754" s="3"/>
      <c r="I754" s="3"/>
    </row>
    <row r="755" spans="1:9" x14ac:dyDescent="0.3">
      <c r="A755" s="2"/>
      <c r="H755" s="3"/>
      <c r="I755" s="3"/>
    </row>
    <row r="756" spans="1:9" x14ac:dyDescent="0.3">
      <c r="A756" s="2"/>
      <c r="H756" s="3"/>
      <c r="I756" s="3"/>
    </row>
    <row r="757" spans="1:9" x14ac:dyDescent="0.3">
      <c r="A757" s="2"/>
      <c r="H757" s="3"/>
      <c r="I757" s="3"/>
    </row>
    <row r="758" spans="1:9" x14ac:dyDescent="0.3">
      <c r="A758" s="2"/>
      <c r="H758" s="3"/>
      <c r="I758" s="3"/>
    </row>
    <row r="759" spans="1:9" x14ac:dyDescent="0.3">
      <c r="A759" s="2"/>
      <c r="H759" s="3"/>
      <c r="I759" s="3"/>
    </row>
    <row r="760" spans="1:9" x14ac:dyDescent="0.3">
      <c r="A760" s="2"/>
      <c r="H760" s="3"/>
      <c r="I760" s="3"/>
    </row>
    <row r="761" spans="1:9" x14ac:dyDescent="0.3">
      <c r="A761" s="2"/>
      <c r="H761" s="3"/>
      <c r="I761" s="3"/>
    </row>
    <row r="762" spans="1:9" x14ac:dyDescent="0.3">
      <c r="A762" s="2"/>
      <c r="H762" s="3"/>
      <c r="I762" s="3"/>
    </row>
    <row r="763" spans="1:9" x14ac:dyDescent="0.3">
      <c r="A763" s="2"/>
      <c r="H763" s="3"/>
      <c r="I763" s="3"/>
    </row>
    <row r="764" spans="1:9" x14ac:dyDescent="0.3">
      <c r="A764" s="2"/>
      <c r="H764" s="3"/>
      <c r="I764" s="3"/>
    </row>
    <row r="765" spans="1:9" x14ac:dyDescent="0.3">
      <c r="A765" s="2"/>
      <c r="H765" s="3"/>
      <c r="I765" s="3"/>
    </row>
    <row r="766" spans="1:9" x14ac:dyDescent="0.3">
      <c r="A766" s="2"/>
      <c r="H766" s="3"/>
      <c r="I766" s="3"/>
    </row>
    <row r="767" spans="1:9" x14ac:dyDescent="0.3">
      <c r="A767" s="2"/>
      <c r="H767" s="3"/>
      <c r="I767" s="3"/>
    </row>
    <row r="768" spans="1:9" x14ac:dyDescent="0.3">
      <c r="A768" s="2"/>
      <c r="H768" s="3"/>
      <c r="I768" s="3"/>
    </row>
    <row r="769" spans="1:9" x14ac:dyDescent="0.3">
      <c r="A769" s="2"/>
      <c r="H769" s="3"/>
      <c r="I769" s="3"/>
    </row>
    <row r="770" spans="1:9" x14ac:dyDescent="0.3">
      <c r="A770" s="2"/>
      <c r="H770" s="3"/>
      <c r="I770" s="3"/>
    </row>
    <row r="771" spans="1:9" x14ac:dyDescent="0.3">
      <c r="A771" s="2"/>
      <c r="H771" s="3"/>
      <c r="I771" s="3"/>
    </row>
    <row r="772" spans="1:9" x14ac:dyDescent="0.3">
      <c r="A772" s="2"/>
      <c r="H772" s="3"/>
      <c r="I772" s="3"/>
    </row>
    <row r="773" spans="1:9" x14ac:dyDescent="0.3">
      <c r="A773" s="2"/>
      <c r="H773" s="3"/>
      <c r="I773" s="3"/>
    </row>
    <row r="774" spans="1:9" x14ac:dyDescent="0.3">
      <c r="A774" s="2"/>
      <c r="H774" s="3"/>
      <c r="I774" s="3"/>
    </row>
    <row r="775" spans="1:9" x14ac:dyDescent="0.3">
      <c r="A775" s="2"/>
      <c r="H775" s="3"/>
      <c r="I775" s="3"/>
    </row>
    <row r="776" spans="1:9" x14ac:dyDescent="0.3">
      <c r="A776" s="2"/>
      <c r="H776" s="3"/>
      <c r="I776" s="3"/>
    </row>
    <row r="777" spans="1:9" x14ac:dyDescent="0.3">
      <c r="A777" s="2"/>
      <c r="H777" s="3"/>
      <c r="I777" s="3"/>
    </row>
    <row r="778" spans="1:9" x14ac:dyDescent="0.3">
      <c r="A778" s="2"/>
      <c r="H778" s="3"/>
      <c r="I778" s="3"/>
    </row>
    <row r="779" spans="1:9" x14ac:dyDescent="0.3">
      <c r="A779" s="2"/>
      <c r="H779" s="3"/>
      <c r="I779" s="3"/>
    </row>
    <row r="780" spans="1:9" x14ac:dyDescent="0.3">
      <c r="A780" s="2"/>
      <c r="H780" s="3"/>
      <c r="I780" s="3"/>
    </row>
    <row r="781" spans="1:9" x14ac:dyDescent="0.3">
      <c r="A781" s="2"/>
      <c r="H781" s="3"/>
      <c r="I781" s="3"/>
    </row>
    <row r="782" spans="1:9" x14ac:dyDescent="0.3">
      <c r="A782" s="2"/>
      <c r="H782" s="3"/>
      <c r="I782" s="3"/>
    </row>
    <row r="783" spans="1:9" x14ac:dyDescent="0.3">
      <c r="A783" s="2"/>
      <c r="H783" s="3"/>
      <c r="I783" s="3"/>
    </row>
    <row r="784" spans="1:9" x14ac:dyDescent="0.3">
      <c r="A784" s="2"/>
      <c r="H784" s="3"/>
      <c r="I784" s="3"/>
    </row>
    <row r="785" spans="1:9" x14ac:dyDescent="0.3">
      <c r="A785" s="2"/>
      <c r="H785" s="3"/>
      <c r="I785" s="3"/>
    </row>
    <row r="786" spans="1:9" x14ac:dyDescent="0.3">
      <c r="A786" s="2"/>
      <c r="H786" s="3"/>
      <c r="I786" s="3"/>
    </row>
    <row r="787" spans="1:9" x14ac:dyDescent="0.3">
      <c r="A787" s="2"/>
      <c r="H787" s="3"/>
      <c r="I787" s="3"/>
    </row>
    <row r="788" spans="1:9" x14ac:dyDescent="0.3">
      <c r="A788" s="2"/>
      <c r="H788" s="3"/>
      <c r="I788" s="3"/>
    </row>
    <row r="789" spans="1:9" x14ac:dyDescent="0.3">
      <c r="A789" s="2"/>
      <c r="H789" s="3"/>
      <c r="I789" s="3"/>
    </row>
    <row r="790" spans="1:9" x14ac:dyDescent="0.3">
      <c r="A790" s="2"/>
      <c r="H790" s="3"/>
      <c r="I790" s="3"/>
    </row>
    <row r="791" spans="1:9" x14ac:dyDescent="0.3">
      <c r="A791" s="2"/>
      <c r="H791" s="3"/>
      <c r="I791" s="3"/>
    </row>
    <row r="792" spans="1:9" x14ac:dyDescent="0.3">
      <c r="A792" s="2"/>
      <c r="H792" s="3"/>
      <c r="I792" s="3"/>
    </row>
    <row r="793" spans="1:9" x14ac:dyDescent="0.3">
      <c r="A793" s="2"/>
      <c r="H793" s="3"/>
      <c r="I793" s="3"/>
    </row>
    <row r="794" spans="1:9" x14ac:dyDescent="0.3">
      <c r="A794" s="2"/>
      <c r="H794" s="3"/>
      <c r="I794" s="3"/>
    </row>
    <row r="795" spans="1:9" x14ac:dyDescent="0.3">
      <c r="A795" s="2"/>
      <c r="H795" s="3"/>
      <c r="I795" s="3"/>
    </row>
    <row r="796" spans="1:9" x14ac:dyDescent="0.3">
      <c r="A796" s="2"/>
      <c r="H796" s="3"/>
      <c r="I796" s="3"/>
    </row>
    <row r="797" spans="1:9" x14ac:dyDescent="0.3">
      <c r="A797" s="2"/>
      <c r="H797" s="3"/>
      <c r="I797" s="3"/>
    </row>
    <row r="798" spans="1:9" x14ac:dyDescent="0.3">
      <c r="A798" s="2"/>
      <c r="H798" s="3"/>
      <c r="I798" s="3"/>
    </row>
    <row r="799" spans="1:9" x14ac:dyDescent="0.3">
      <c r="A799" s="2"/>
      <c r="H799" s="3"/>
      <c r="I799" s="3"/>
    </row>
    <row r="800" spans="1:9" x14ac:dyDescent="0.3">
      <c r="A800" s="2"/>
      <c r="H800" s="3"/>
      <c r="I800" s="3"/>
    </row>
    <row r="801" spans="1:9" x14ac:dyDescent="0.3">
      <c r="A801" s="2"/>
      <c r="H801" s="3"/>
      <c r="I801" s="3"/>
    </row>
    <row r="802" spans="1:9" x14ac:dyDescent="0.3">
      <c r="A802" s="2"/>
      <c r="H802" s="3"/>
      <c r="I802" s="3"/>
    </row>
    <row r="803" spans="1:9" x14ac:dyDescent="0.3">
      <c r="A803" s="2"/>
      <c r="H803" s="3"/>
      <c r="I803" s="3"/>
    </row>
    <row r="804" spans="1:9" x14ac:dyDescent="0.3">
      <c r="A804" s="2"/>
      <c r="H804" s="3"/>
      <c r="I804" s="3"/>
    </row>
    <row r="805" spans="1:9" x14ac:dyDescent="0.3">
      <c r="A805" s="2"/>
      <c r="H805" s="3"/>
      <c r="I805" s="3"/>
    </row>
    <row r="806" spans="1:9" x14ac:dyDescent="0.3">
      <c r="A806" s="2"/>
      <c r="H806" s="3"/>
      <c r="I806" s="3"/>
    </row>
    <row r="807" spans="1:9" x14ac:dyDescent="0.3">
      <c r="A807" s="2"/>
      <c r="H807" s="3"/>
      <c r="I807" s="3"/>
    </row>
    <row r="808" spans="1:9" x14ac:dyDescent="0.3">
      <c r="A808" s="2"/>
      <c r="H808" s="3"/>
      <c r="I808" s="3"/>
    </row>
    <row r="809" spans="1:9" x14ac:dyDescent="0.3">
      <c r="A809" s="2"/>
      <c r="H809" s="3"/>
      <c r="I809" s="3"/>
    </row>
    <row r="810" spans="1:9" x14ac:dyDescent="0.3">
      <c r="A810" s="2"/>
      <c r="H810" s="3"/>
      <c r="I810" s="3"/>
    </row>
    <row r="811" spans="1:9" x14ac:dyDescent="0.3">
      <c r="A811" s="2"/>
      <c r="H811" s="3"/>
      <c r="I811" s="3"/>
    </row>
    <row r="812" spans="1:9" x14ac:dyDescent="0.3">
      <c r="A812" s="2"/>
      <c r="H812" s="3"/>
      <c r="I812" s="3"/>
    </row>
    <row r="813" spans="1:9" x14ac:dyDescent="0.3">
      <c r="A813" s="2"/>
      <c r="H813" s="3"/>
      <c r="I813" s="3"/>
    </row>
    <row r="814" spans="1:9" x14ac:dyDescent="0.3">
      <c r="A814" s="2"/>
      <c r="H814" s="3"/>
      <c r="I814" s="3"/>
    </row>
    <row r="815" spans="1:9" x14ac:dyDescent="0.3">
      <c r="A815" s="2"/>
      <c r="H815" s="3"/>
      <c r="I815" s="3"/>
    </row>
    <row r="816" spans="1:9" x14ac:dyDescent="0.3">
      <c r="A816" s="2"/>
      <c r="H816" s="3"/>
      <c r="I816" s="3"/>
    </row>
    <row r="817" spans="1:9" x14ac:dyDescent="0.3">
      <c r="A817" s="2"/>
      <c r="H817" s="3"/>
      <c r="I817" s="3"/>
    </row>
    <row r="818" spans="1:9" x14ac:dyDescent="0.3">
      <c r="A818" s="2"/>
      <c r="H818" s="3"/>
      <c r="I818" s="3"/>
    </row>
    <row r="819" spans="1:9" x14ac:dyDescent="0.3">
      <c r="A819" s="2"/>
      <c r="H819" s="3"/>
      <c r="I819" s="3"/>
    </row>
    <row r="820" spans="1:9" x14ac:dyDescent="0.3">
      <c r="A820" s="2"/>
      <c r="H820" s="3"/>
      <c r="I820" s="3"/>
    </row>
    <row r="821" spans="1:9" x14ac:dyDescent="0.3">
      <c r="A821" s="2"/>
      <c r="H821" s="3"/>
      <c r="I821" s="3"/>
    </row>
    <row r="822" spans="1:9" x14ac:dyDescent="0.3">
      <c r="A822" s="2"/>
      <c r="H822" s="3"/>
      <c r="I822" s="3"/>
    </row>
    <row r="823" spans="1:9" x14ac:dyDescent="0.3">
      <c r="A823" s="2"/>
      <c r="H823" s="3"/>
      <c r="I823" s="3"/>
    </row>
    <row r="824" spans="1:9" x14ac:dyDescent="0.3">
      <c r="A824" s="2"/>
      <c r="H824" s="3"/>
      <c r="I824" s="3"/>
    </row>
    <row r="825" spans="1:9" x14ac:dyDescent="0.3">
      <c r="A825" s="2"/>
      <c r="H825" s="3"/>
      <c r="I825" s="3"/>
    </row>
    <row r="826" spans="1:9" x14ac:dyDescent="0.3">
      <c r="A826" s="2"/>
      <c r="H826" s="3"/>
      <c r="I826" s="3"/>
    </row>
    <row r="827" spans="1:9" x14ac:dyDescent="0.3">
      <c r="A827" s="2"/>
      <c r="H827" s="3"/>
      <c r="I827" s="3"/>
    </row>
    <row r="828" spans="1:9" x14ac:dyDescent="0.3">
      <c r="A828" s="2"/>
      <c r="H828" s="3"/>
      <c r="I828" s="3"/>
    </row>
    <row r="829" spans="1:9" x14ac:dyDescent="0.3">
      <c r="A829" s="2"/>
      <c r="H829" s="3"/>
      <c r="I829" s="3"/>
    </row>
    <row r="830" spans="1:9" x14ac:dyDescent="0.3">
      <c r="A830" s="2"/>
      <c r="H830" s="3"/>
      <c r="I830" s="3"/>
    </row>
    <row r="831" spans="1:9" x14ac:dyDescent="0.3">
      <c r="A831" s="2"/>
      <c r="H831" s="3"/>
      <c r="I831" s="3"/>
    </row>
    <row r="832" spans="1:9" x14ac:dyDescent="0.3">
      <c r="A832" s="2"/>
      <c r="H832" s="3"/>
      <c r="I832" s="3"/>
    </row>
    <row r="833" spans="1:9" x14ac:dyDescent="0.3">
      <c r="A833" s="2"/>
      <c r="H833" s="3"/>
      <c r="I833" s="3"/>
    </row>
    <row r="834" spans="1:9" x14ac:dyDescent="0.3">
      <c r="A834" s="2"/>
      <c r="H834" s="3"/>
      <c r="I834" s="3"/>
    </row>
    <row r="835" spans="1:9" x14ac:dyDescent="0.3">
      <c r="A835" s="2"/>
      <c r="H835" s="3"/>
      <c r="I835" s="3"/>
    </row>
    <row r="836" spans="1:9" x14ac:dyDescent="0.3">
      <c r="A836" s="2"/>
      <c r="H836" s="3"/>
      <c r="I836" s="3"/>
    </row>
    <row r="837" spans="1:9" x14ac:dyDescent="0.3">
      <c r="A837" s="2"/>
      <c r="H837" s="3"/>
      <c r="I837" s="3"/>
    </row>
    <row r="838" spans="1:9" x14ac:dyDescent="0.3">
      <c r="A838" s="2"/>
      <c r="H838" s="3"/>
      <c r="I838" s="3"/>
    </row>
    <row r="839" spans="1:9" x14ac:dyDescent="0.3">
      <c r="A839" s="2"/>
      <c r="H839" s="3"/>
      <c r="I839" s="3"/>
    </row>
    <row r="840" spans="1:9" x14ac:dyDescent="0.3">
      <c r="A840" s="2"/>
      <c r="H840" s="3"/>
      <c r="I840" s="3"/>
    </row>
    <row r="841" spans="1:9" x14ac:dyDescent="0.3">
      <c r="A841" s="2"/>
      <c r="H841" s="3"/>
      <c r="I841" s="3"/>
    </row>
    <row r="842" spans="1:9" x14ac:dyDescent="0.3">
      <c r="A842" s="2"/>
      <c r="H842" s="3"/>
      <c r="I842" s="3"/>
    </row>
    <row r="843" spans="1:9" x14ac:dyDescent="0.3">
      <c r="A843" s="2"/>
      <c r="H843" s="3"/>
      <c r="I843" s="3"/>
    </row>
    <row r="844" spans="1:9" x14ac:dyDescent="0.3">
      <c r="A844" s="2"/>
      <c r="H844" s="3"/>
      <c r="I844" s="3"/>
    </row>
    <row r="845" spans="1:9" x14ac:dyDescent="0.3">
      <c r="A845" s="2"/>
      <c r="H845" s="3"/>
      <c r="I845" s="3"/>
    </row>
    <row r="846" spans="1:9" x14ac:dyDescent="0.3">
      <c r="A846" s="2"/>
      <c r="H846" s="3"/>
      <c r="I846" s="3"/>
    </row>
    <row r="847" spans="1:9" x14ac:dyDescent="0.3">
      <c r="A847" s="2"/>
      <c r="H847" s="3"/>
      <c r="I847" s="3"/>
    </row>
    <row r="848" spans="1:9" x14ac:dyDescent="0.3">
      <c r="A848" s="2"/>
      <c r="H848" s="3"/>
      <c r="I848" s="3"/>
    </row>
    <row r="849" spans="1:9" x14ac:dyDescent="0.3">
      <c r="A849" s="2"/>
      <c r="H849" s="3"/>
      <c r="I849" s="3"/>
    </row>
    <row r="850" spans="1:9" x14ac:dyDescent="0.3">
      <c r="A850" s="2"/>
      <c r="H850" s="3"/>
      <c r="I850" s="3"/>
    </row>
    <row r="851" spans="1:9" x14ac:dyDescent="0.3">
      <c r="A851" s="2"/>
      <c r="H851" s="3"/>
      <c r="I851" s="3"/>
    </row>
    <row r="852" spans="1:9" x14ac:dyDescent="0.3">
      <c r="A852" s="2"/>
      <c r="H852" s="3"/>
      <c r="I852" s="3"/>
    </row>
    <row r="853" spans="1:9" x14ac:dyDescent="0.3">
      <c r="A853" s="2"/>
      <c r="H853" s="3"/>
      <c r="I853" s="3"/>
    </row>
    <row r="854" spans="1:9" x14ac:dyDescent="0.3">
      <c r="A854" s="2"/>
      <c r="H854" s="3"/>
      <c r="I854" s="3"/>
    </row>
    <row r="855" spans="1:9" x14ac:dyDescent="0.3">
      <c r="A855" s="2"/>
      <c r="H855" s="3"/>
      <c r="I855" s="3"/>
    </row>
    <row r="856" spans="1:9" x14ac:dyDescent="0.3">
      <c r="A856" s="2"/>
      <c r="H856" s="3"/>
      <c r="I856" s="3"/>
    </row>
    <row r="857" spans="1:9" x14ac:dyDescent="0.3">
      <c r="A857" s="2"/>
      <c r="H857" s="3"/>
      <c r="I857" s="3"/>
    </row>
    <row r="858" spans="1:9" x14ac:dyDescent="0.3">
      <c r="A858" s="2"/>
      <c r="H858" s="3"/>
      <c r="I858" s="3"/>
    </row>
    <row r="859" spans="1:9" x14ac:dyDescent="0.3">
      <c r="A859" s="2"/>
      <c r="H859" s="3"/>
      <c r="I859" s="3"/>
    </row>
    <row r="860" spans="1:9" x14ac:dyDescent="0.3">
      <c r="A860" s="2"/>
      <c r="H860" s="3"/>
      <c r="I860" s="3"/>
    </row>
    <row r="861" spans="1:9" x14ac:dyDescent="0.3">
      <c r="A861" s="2"/>
      <c r="H861" s="3"/>
      <c r="I861" s="3"/>
    </row>
    <row r="862" spans="1:9" x14ac:dyDescent="0.3">
      <c r="A862" s="2"/>
      <c r="H862" s="3"/>
      <c r="I862" s="3"/>
    </row>
    <row r="863" spans="1:9" x14ac:dyDescent="0.3">
      <c r="A863" s="2"/>
      <c r="H863" s="3"/>
      <c r="I863" s="3"/>
    </row>
    <row r="864" spans="1:9" x14ac:dyDescent="0.3">
      <c r="A864" s="2"/>
      <c r="H864" s="3"/>
      <c r="I864" s="3"/>
    </row>
    <row r="865" spans="1:9" x14ac:dyDescent="0.3">
      <c r="A865" s="2"/>
      <c r="H865" s="3"/>
      <c r="I865" s="3"/>
    </row>
    <row r="866" spans="1:9" x14ac:dyDescent="0.3">
      <c r="A866" s="2"/>
      <c r="H866" s="3"/>
      <c r="I866" s="3"/>
    </row>
    <row r="867" spans="1:9" x14ac:dyDescent="0.3">
      <c r="A867" s="2"/>
      <c r="H867" s="3"/>
      <c r="I867" s="3"/>
    </row>
    <row r="868" spans="1:9" x14ac:dyDescent="0.3">
      <c r="A868" s="2"/>
      <c r="H868" s="3"/>
      <c r="I868" s="3"/>
    </row>
    <row r="869" spans="1:9" x14ac:dyDescent="0.3">
      <c r="A869" s="2"/>
      <c r="H869" s="3"/>
      <c r="I869" s="3"/>
    </row>
    <row r="870" spans="1:9" x14ac:dyDescent="0.3">
      <c r="A870" s="2"/>
      <c r="H870" s="3"/>
      <c r="I870" s="3"/>
    </row>
    <row r="871" spans="1:9" x14ac:dyDescent="0.3">
      <c r="A871" s="2"/>
      <c r="H871" s="3"/>
      <c r="I871" s="3"/>
    </row>
    <row r="872" spans="1:9" x14ac:dyDescent="0.3">
      <c r="A872" s="2"/>
      <c r="H872" s="3"/>
      <c r="I872" s="3"/>
    </row>
    <row r="873" spans="1:9" x14ac:dyDescent="0.3">
      <c r="A873" s="2"/>
      <c r="H873" s="3"/>
      <c r="I873" s="3"/>
    </row>
    <row r="874" spans="1:9" x14ac:dyDescent="0.3">
      <c r="A874" s="2"/>
      <c r="H874" s="3"/>
      <c r="I874" s="3"/>
    </row>
    <row r="875" spans="1:9" x14ac:dyDescent="0.3">
      <c r="A875" s="2"/>
      <c r="H875" s="3"/>
      <c r="I875" s="3"/>
    </row>
    <row r="876" spans="1:9" x14ac:dyDescent="0.3">
      <c r="A876" s="2"/>
      <c r="H876" s="3"/>
      <c r="I876" s="3"/>
    </row>
    <row r="877" spans="1:9" x14ac:dyDescent="0.3">
      <c r="A877" s="2"/>
      <c r="H877" s="3"/>
      <c r="I877" s="3"/>
    </row>
    <row r="878" spans="1:9" x14ac:dyDescent="0.3">
      <c r="A878" s="2"/>
      <c r="H878" s="3"/>
      <c r="I878" s="3"/>
    </row>
    <row r="879" spans="1:9" x14ac:dyDescent="0.3">
      <c r="A879" s="2"/>
      <c r="H879" s="3"/>
      <c r="I879" s="3"/>
    </row>
    <row r="880" spans="1:9" x14ac:dyDescent="0.3">
      <c r="A880" s="2"/>
      <c r="H880" s="3"/>
      <c r="I880" s="3"/>
    </row>
    <row r="881" spans="1:9" x14ac:dyDescent="0.3">
      <c r="A881" s="2"/>
      <c r="H881" s="3"/>
      <c r="I881" s="3"/>
    </row>
    <row r="882" spans="1:9" x14ac:dyDescent="0.3">
      <c r="A882" s="2"/>
      <c r="H882" s="3"/>
      <c r="I882" s="3"/>
    </row>
    <row r="883" spans="1:9" x14ac:dyDescent="0.3">
      <c r="A883" s="2"/>
      <c r="H883" s="3"/>
      <c r="I883" s="3"/>
    </row>
    <row r="884" spans="1:9" x14ac:dyDescent="0.3">
      <c r="A884" s="2"/>
      <c r="H884" s="3"/>
      <c r="I884" s="3"/>
    </row>
    <row r="885" spans="1:9" x14ac:dyDescent="0.3">
      <c r="A885" s="2"/>
      <c r="H885" s="3"/>
      <c r="I885" s="3"/>
    </row>
    <row r="886" spans="1:9" x14ac:dyDescent="0.3">
      <c r="A886" s="2"/>
      <c r="H886" s="3"/>
      <c r="I886" s="3"/>
    </row>
    <row r="887" spans="1:9" x14ac:dyDescent="0.3">
      <c r="A887" s="2"/>
      <c r="H887" s="3"/>
      <c r="I887" s="3"/>
    </row>
    <row r="888" spans="1:9" x14ac:dyDescent="0.3">
      <c r="A888" s="2"/>
      <c r="H888" s="3"/>
      <c r="I888" s="3"/>
    </row>
    <row r="889" spans="1:9" x14ac:dyDescent="0.3">
      <c r="A889" s="2"/>
      <c r="H889" s="3"/>
      <c r="I889" s="3"/>
    </row>
    <row r="890" spans="1:9" x14ac:dyDescent="0.3">
      <c r="A890" s="2"/>
      <c r="H890" s="3"/>
      <c r="I890" s="3"/>
    </row>
    <row r="891" spans="1:9" x14ac:dyDescent="0.3">
      <c r="A891" s="2"/>
      <c r="H891" s="3"/>
      <c r="I891" s="3"/>
    </row>
    <row r="892" spans="1:9" x14ac:dyDescent="0.3">
      <c r="A892" s="2"/>
      <c r="H892" s="3"/>
      <c r="I892" s="3"/>
    </row>
    <row r="893" spans="1:9" x14ac:dyDescent="0.3">
      <c r="A893" s="2"/>
      <c r="H893" s="3"/>
      <c r="I893" s="3"/>
    </row>
    <row r="894" spans="1:9" x14ac:dyDescent="0.3">
      <c r="A894" s="2"/>
      <c r="H894" s="3"/>
      <c r="I894" s="3"/>
    </row>
    <row r="895" spans="1:9" x14ac:dyDescent="0.3">
      <c r="A895" s="2"/>
      <c r="H895" s="3"/>
      <c r="I895" s="3"/>
    </row>
    <row r="896" spans="1:9" x14ac:dyDescent="0.3">
      <c r="A896" s="2"/>
      <c r="H896" s="3"/>
      <c r="I896" s="3"/>
    </row>
    <row r="897" spans="1:9" x14ac:dyDescent="0.3">
      <c r="A897" s="2"/>
      <c r="H897" s="3"/>
      <c r="I897" s="3"/>
    </row>
    <row r="898" spans="1:9" x14ac:dyDescent="0.3">
      <c r="A898" s="2"/>
      <c r="H898" s="3"/>
      <c r="I898" s="3"/>
    </row>
    <row r="899" spans="1:9" x14ac:dyDescent="0.3">
      <c r="A899" s="2"/>
      <c r="H899" s="3"/>
      <c r="I899" s="3"/>
    </row>
    <row r="900" spans="1:9" x14ac:dyDescent="0.3">
      <c r="A900" s="2"/>
      <c r="H900" s="3"/>
      <c r="I900" s="3"/>
    </row>
    <row r="901" spans="1:9" x14ac:dyDescent="0.3">
      <c r="A901" s="2"/>
      <c r="H901" s="3"/>
      <c r="I901" s="3"/>
    </row>
    <row r="902" spans="1:9" x14ac:dyDescent="0.3">
      <c r="A902" s="2"/>
      <c r="H902" s="3"/>
      <c r="I902" s="3"/>
    </row>
    <row r="903" spans="1:9" x14ac:dyDescent="0.3">
      <c r="A903" s="2"/>
      <c r="H903" s="3"/>
      <c r="I903" s="3"/>
    </row>
    <row r="904" spans="1:9" x14ac:dyDescent="0.3">
      <c r="A904" s="2"/>
      <c r="H904" s="3"/>
      <c r="I904" s="3"/>
    </row>
    <row r="905" spans="1:9" x14ac:dyDescent="0.3">
      <c r="A905" s="2"/>
      <c r="H905" s="3"/>
      <c r="I905" s="3"/>
    </row>
    <row r="906" spans="1:9" x14ac:dyDescent="0.3">
      <c r="A906" s="2"/>
      <c r="H906" s="3"/>
      <c r="I906" s="3"/>
    </row>
    <row r="907" spans="1:9" x14ac:dyDescent="0.3">
      <c r="A907" s="2"/>
      <c r="H907" s="3"/>
      <c r="I907" s="3"/>
    </row>
    <row r="908" spans="1:9" x14ac:dyDescent="0.3">
      <c r="A908" s="2"/>
      <c r="H908" s="3"/>
      <c r="I908" s="3"/>
    </row>
    <row r="909" spans="1:9" x14ac:dyDescent="0.3">
      <c r="A909" s="2"/>
      <c r="H909" s="3"/>
      <c r="I909" s="3"/>
    </row>
    <row r="910" spans="1:9" x14ac:dyDescent="0.3">
      <c r="A910" s="2"/>
      <c r="H910" s="3"/>
      <c r="I910" s="3"/>
    </row>
    <row r="911" spans="1:9" x14ac:dyDescent="0.3">
      <c r="A911" s="2"/>
      <c r="H911" s="3"/>
      <c r="I911" s="3"/>
    </row>
    <row r="912" spans="1:9" x14ac:dyDescent="0.3">
      <c r="A912" s="2"/>
      <c r="H912" s="3"/>
      <c r="I912" s="3"/>
    </row>
    <row r="913" spans="1:9" x14ac:dyDescent="0.3">
      <c r="A913" s="2"/>
      <c r="H913" s="3"/>
      <c r="I913" s="3"/>
    </row>
    <row r="914" spans="1:9" x14ac:dyDescent="0.3">
      <c r="A914" s="2"/>
      <c r="H914" s="3"/>
      <c r="I914" s="3"/>
    </row>
    <row r="915" spans="1:9" x14ac:dyDescent="0.3">
      <c r="A915" s="2"/>
      <c r="H915" s="3"/>
      <c r="I915" s="3"/>
    </row>
    <row r="916" spans="1:9" x14ac:dyDescent="0.3">
      <c r="A916" s="2"/>
      <c r="H916" s="3"/>
      <c r="I916" s="3"/>
    </row>
    <row r="917" spans="1:9" x14ac:dyDescent="0.3">
      <c r="A917" s="2"/>
      <c r="H917" s="3"/>
      <c r="I917" s="3"/>
    </row>
    <row r="918" spans="1:9" x14ac:dyDescent="0.3">
      <c r="A918" s="2"/>
      <c r="H918" s="3"/>
      <c r="I918" s="3"/>
    </row>
    <row r="919" spans="1:9" x14ac:dyDescent="0.3">
      <c r="A919" s="2"/>
      <c r="H919" s="3"/>
      <c r="I919" s="3"/>
    </row>
    <row r="920" spans="1:9" x14ac:dyDescent="0.3">
      <c r="A920" s="2"/>
      <c r="H920" s="3"/>
      <c r="I920" s="3"/>
    </row>
    <row r="921" spans="1:9" x14ac:dyDescent="0.3">
      <c r="A921" s="2"/>
      <c r="H921" s="3"/>
      <c r="I921" s="3"/>
    </row>
    <row r="922" spans="1:9" x14ac:dyDescent="0.3">
      <c r="A922" s="2"/>
      <c r="H922" s="3"/>
      <c r="I922" s="3"/>
    </row>
    <row r="923" spans="1:9" x14ac:dyDescent="0.3">
      <c r="A923" s="2"/>
      <c r="H923" s="3"/>
      <c r="I923" s="3"/>
    </row>
    <row r="924" spans="1:9" x14ac:dyDescent="0.3">
      <c r="A924" s="2"/>
      <c r="H924" s="3"/>
      <c r="I924" s="3"/>
    </row>
    <row r="925" spans="1:9" x14ac:dyDescent="0.3">
      <c r="A925" s="2"/>
      <c r="H925" s="3"/>
      <c r="I925" s="3"/>
    </row>
    <row r="926" spans="1:9" x14ac:dyDescent="0.3">
      <c r="A926" s="2"/>
      <c r="H926" s="3"/>
      <c r="I926" s="3"/>
    </row>
    <row r="927" spans="1:9" x14ac:dyDescent="0.3">
      <c r="A927" s="2"/>
      <c r="H927" s="3"/>
      <c r="I927" s="3"/>
    </row>
    <row r="928" spans="1:9" x14ac:dyDescent="0.3">
      <c r="A928" s="2"/>
      <c r="H928" s="3"/>
      <c r="I928" s="3"/>
    </row>
    <row r="929" spans="1:9" x14ac:dyDescent="0.3">
      <c r="A929" s="2"/>
      <c r="H929" s="3"/>
      <c r="I929" s="3"/>
    </row>
    <row r="930" spans="1:9" x14ac:dyDescent="0.3">
      <c r="A930" s="2"/>
      <c r="H930" s="3"/>
      <c r="I930" s="3"/>
    </row>
    <row r="931" spans="1:9" x14ac:dyDescent="0.3">
      <c r="A931" s="2"/>
      <c r="H931" s="3"/>
      <c r="I931" s="3"/>
    </row>
    <row r="932" spans="1:9" x14ac:dyDescent="0.3">
      <c r="A932" s="2"/>
      <c r="H932" s="3"/>
      <c r="I932" s="3"/>
    </row>
    <row r="933" spans="1:9" x14ac:dyDescent="0.3">
      <c r="A933" s="2"/>
      <c r="H933" s="3"/>
      <c r="I933" s="3"/>
    </row>
    <row r="934" spans="1:9" x14ac:dyDescent="0.3">
      <c r="A934" s="2"/>
      <c r="H934" s="3"/>
      <c r="I934" s="3"/>
    </row>
    <row r="935" spans="1:9" x14ac:dyDescent="0.3">
      <c r="A935" s="2"/>
      <c r="H935" s="3"/>
      <c r="I935" s="3"/>
    </row>
    <row r="936" spans="1:9" x14ac:dyDescent="0.3">
      <c r="A936" s="2"/>
      <c r="H936" s="3"/>
      <c r="I936" s="3"/>
    </row>
    <row r="937" spans="1:9" x14ac:dyDescent="0.3">
      <c r="A937" s="2"/>
      <c r="H937" s="3"/>
      <c r="I937" s="3"/>
    </row>
    <row r="938" spans="1:9" x14ac:dyDescent="0.3">
      <c r="A938" s="2"/>
      <c r="H938" s="3"/>
      <c r="I938" s="3"/>
    </row>
    <row r="939" spans="1:9" x14ac:dyDescent="0.3">
      <c r="A939" s="2"/>
      <c r="H939" s="3"/>
      <c r="I939" s="3"/>
    </row>
    <row r="940" spans="1:9" x14ac:dyDescent="0.3">
      <c r="A940" s="2"/>
      <c r="H940" s="3"/>
      <c r="I940" s="3"/>
    </row>
    <row r="941" spans="1:9" x14ac:dyDescent="0.3">
      <c r="A941" s="2"/>
      <c r="H941" s="3"/>
      <c r="I941" s="3"/>
    </row>
    <row r="942" spans="1:9" x14ac:dyDescent="0.3">
      <c r="A942" s="2"/>
      <c r="H942" s="3"/>
      <c r="I942" s="3"/>
    </row>
    <row r="943" spans="1:9" x14ac:dyDescent="0.3">
      <c r="A943" s="2"/>
      <c r="H943" s="3"/>
      <c r="I943" s="3"/>
    </row>
    <row r="944" spans="1:9" x14ac:dyDescent="0.3">
      <c r="A944" s="2"/>
      <c r="H944" s="3"/>
      <c r="I944" s="3"/>
    </row>
    <row r="945" spans="1:9" x14ac:dyDescent="0.3">
      <c r="A945" s="2"/>
      <c r="H945" s="3"/>
      <c r="I945" s="3"/>
    </row>
    <row r="946" spans="1:9" x14ac:dyDescent="0.3">
      <c r="A946" s="2"/>
      <c r="H946" s="3"/>
      <c r="I946" s="3"/>
    </row>
    <row r="947" spans="1:9" x14ac:dyDescent="0.3">
      <c r="A947" s="2"/>
      <c r="H947" s="3"/>
      <c r="I947" s="3"/>
    </row>
    <row r="948" spans="1:9" x14ac:dyDescent="0.3">
      <c r="A948" s="2"/>
      <c r="H948" s="3"/>
      <c r="I948" s="3"/>
    </row>
    <row r="949" spans="1:9" x14ac:dyDescent="0.3">
      <c r="A949" s="2"/>
      <c r="H949" s="3"/>
      <c r="I949" s="3"/>
    </row>
    <row r="950" spans="1:9" x14ac:dyDescent="0.3">
      <c r="A950" s="2"/>
      <c r="H950" s="3"/>
      <c r="I950" s="3"/>
    </row>
    <row r="951" spans="1:9" x14ac:dyDescent="0.3">
      <c r="A951" s="2"/>
      <c r="H951" s="3"/>
      <c r="I951" s="3"/>
    </row>
    <row r="952" spans="1:9" x14ac:dyDescent="0.3">
      <c r="A952" s="2"/>
      <c r="H952" s="3"/>
      <c r="I952" s="3"/>
    </row>
    <row r="953" spans="1:9" x14ac:dyDescent="0.3">
      <c r="A953" s="2"/>
      <c r="H953" s="3"/>
      <c r="I953" s="3"/>
    </row>
    <row r="954" spans="1:9" x14ac:dyDescent="0.3">
      <c r="A954" s="2"/>
      <c r="H954" s="3"/>
      <c r="I954" s="3"/>
    </row>
    <row r="955" spans="1:9" x14ac:dyDescent="0.3">
      <c r="A955" s="2"/>
      <c r="H955" s="3"/>
      <c r="I955" s="3"/>
    </row>
    <row r="956" spans="1:9" x14ac:dyDescent="0.3">
      <c r="A956" s="2"/>
      <c r="H956" s="3"/>
      <c r="I956" s="3"/>
    </row>
    <row r="957" spans="1:9" x14ac:dyDescent="0.3">
      <c r="A957" s="2"/>
      <c r="H957" s="3"/>
      <c r="I957" s="3"/>
    </row>
    <row r="958" spans="1:9" x14ac:dyDescent="0.3">
      <c r="A958" s="2"/>
      <c r="H958" s="3"/>
      <c r="I958" s="3"/>
    </row>
    <row r="959" spans="1:9" x14ac:dyDescent="0.3">
      <c r="A959" s="2"/>
      <c r="H959" s="3"/>
      <c r="I959" s="3"/>
    </row>
    <row r="960" spans="1:9" x14ac:dyDescent="0.3">
      <c r="A960" s="2"/>
      <c r="H960" s="3"/>
      <c r="I960" s="3"/>
    </row>
    <row r="961" spans="1:9" x14ac:dyDescent="0.3">
      <c r="A961" s="2"/>
      <c r="H961" s="3"/>
      <c r="I961" s="3"/>
    </row>
    <row r="962" spans="1:9" x14ac:dyDescent="0.3">
      <c r="A962" s="2"/>
      <c r="H962" s="3"/>
      <c r="I962" s="3"/>
    </row>
    <row r="963" spans="1:9" x14ac:dyDescent="0.3">
      <c r="A963" s="2"/>
      <c r="H963" s="3"/>
      <c r="I963" s="3"/>
    </row>
    <row r="964" spans="1:9" x14ac:dyDescent="0.3">
      <c r="A964" s="2"/>
      <c r="H964" s="3"/>
      <c r="I964" s="3"/>
    </row>
    <row r="965" spans="1:9" x14ac:dyDescent="0.3">
      <c r="A965" s="2"/>
      <c r="H965" s="3"/>
      <c r="I965" s="3"/>
    </row>
    <row r="966" spans="1:9" x14ac:dyDescent="0.3">
      <c r="A966" s="2"/>
      <c r="H966" s="3"/>
      <c r="I966" s="3"/>
    </row>
    <row r="967" spans="1:9" x14ac:dyDescent="0.3">
      <c r="A967" s="2"/>
      <c r="H967" s="3"/>
      <c r="I967" s="3"/>
    </row>
    <row r="968" spans="1:9" x14ac:dyDescent="0.3">
      <c r="A968" s="2"/>
      <c r="H968" s="3"/>
      <c r="I968" s="3"/>
    </row>
    <row r="969" spans="1:9" x14ac:dyDescent="0.3">
      <c r="A969" s="2"/>
      <c r="H969" s="3"/>
      <c r="I969" s="3"/>
    </row>
    <row r="970" spans="1:9" x14ac:dyDescent="0.3">
      <c r="A970" s="2"/>
      <c r="H970" s="3"/>
      <c r="I970" s="3"/>
    </row>
    <row r="971" spans="1:9" x14ac:dyDescent="0.3">
      <c r="A971" s="2"/>
      <c r="H971" s="3"/>
      <c r="I971" s="3"/>
    </row>
    <row r="972" spans="1:9" x14ac:dyDescent="0.3">
      <c r="A972" s="2"/>
      <c r="H972" s="3"/>
      <c r="I972" s="3"/>
    </row>
    <row r="973" spans="1:9" x14ac:dyDescent="0.3">
      <c r="A973" s="2"/>
      <c r="H973" s="3"/>
      <c r="I973" s="3"/>
    </row>
    <row r="974" spans="1:9" x14ac:dyDescent="0.3">
      <c r="A974" s="2"/>
      <c r="H974" s="3"/>
      <c r="I974" s="3"/>
    </row>
    <row r="975" spans="1:9" x14ac:dyDescent="0.3">
      <c r="A975" s="2"/>
      <c r="H975" s="3"/>
      <c r="I975" s="3"/>
    </row>
    <row r="976" spans="1:9" x14ac:dyDescent="0.3">
      <c r="A976" s="2"/>
      <c r="H976" s="3"/>
      <c r="I976" s="3"/>
    </row>
    <row r="977" spans="1:9" x14ac:dyDescent="0.3">
      <c r="A977" s="2"/>
      <c r="H977" s="3"/>
      <c r="I977" s="3"/>
    </row>
    <row r="978" spans="1:9" x14ac:dyDescent="0.3">
      <c r="A978" s="2"/>
      <c r="H978" s="3"/>
      <c r="I978" s="3"/>
    </row>
    <row r="979" spans="1:9" x14ac:dyDescent="0.3">
      <c r="A979" s="2"/>
      <c r="H979" s="3"/>
      <c r="I979" s="3"/>
    </row>
    <row r="980" spans="1:9" x14ac:dyDescent="0.3">
      <c r="A980" s="2"/>
      <c r="H980" s="3"/>
      <c r="I980" s="3"/>
    </row>
    <row r="981" spans="1:9" x14ac:dyDescent="0.3">
      <c r="A981" s="2"/>
      <c r="H981" s="3"/>
      <c r="I981" s="3"/>
    </row>
    <row r="982" spans="1:9" x14ac:dyDescent="0.3">
      <c r="A982" s="2"/>
      <c r="H982" s="3"/>
      <c r="I982" s="3"/>
    </row>
    <row r="983" spans="1:9" x14ac:dyDescent="0.3">
      <c r="A983" s="2"/>
      <c r="H983" s="3"/>
      <c r="I983" s="3"/>
    </row>
    <row r="984" spans="1:9" x14ac:dyDescent="0.3">
      <c r="A984" s="2"/>
      <c r="H984" s="3"/>
      <c r="I984" s="3"/>
    </row>
    <row r="985" spans="1:9" x14ac:dyDescent="0.3">
      <c r="A985" s="2"/>
      <c r="H985" s="3"/>
      <c r="I985" s="3"/>
    </row>
    <row r="986" spans="1:9" x14ac:dyDescent="0.3">
      <c r="A986" s="2"/>
      <c r="H986" s="3"/>
      <c r="I986" s="3"/>
    </row>
    <row r="987" spans="1:9" x14ac:dyDescent="0.3">
      <c r="A987" s="2"/>
      <c r="H987" s="3"/>
      <c r="I987" s="3"/>
    </row>
    <row r="988" spans="1:9" x14ac:dyDescent="0.3">
      <c r="A988" s="2"/>
      <c r="H988" s="3"/>
      <c r="I988" s="3"/>
    </row>
    <row r="989" spans="1:9" x14ac:dyDescent="0.3">
      <c r="A989" s="2"/>
      <c r="H989" s="3"/>
      <c r="I989" s="3"/>
    </row>
    <row r="990" spans="1:9" x14ac:dyDescent="0.3">
      <c r="A990" s="2"/>
      <c r="H990" s="3"/>
      <c r="I990" s="3"/>
    </row>
    <row r="991" spans="1:9" x14ac:dyDescent="0.3">
      <c r="A991" s="2"/>
      <c r="H991" s="3"/>
      <c r="I991" s="3"/>
    </row>
    <row r="992" spans="1:9" x14ac:dyDescent="0.3">
      <c r="A992" s="2"/>
      <c r="H992" s="3"/>
      <c r="I992" s="3"/>
    </row>
    <row r="993" spans="1:9" x14ac:dyDescent="0.3">
      <c r="A993" s="2"/>
      <c r="H993" s="3"/>
      <c r="I993" s="3"/>
    </row>
    <row r="994" spans="1:9" x14ac:dyDescent="0.3">
      <c r="A994" s="2"/>
      <c r="H994" s="3"/>
      <c r="I994" s="3"/>
    </row>
    <row r="995" spans="1:9" x14ac:dyDescent="0.3">
      <c r="A995" s="2"/>
      <c r="H995" s="3"/>
      <c r="I995" s="3"/>
    </row>
    <row r="996" spans="1:9" x14ac:dyDescent="0.3">
      <c r="A996" s="2"/>
      <c r="H996" s="3"/>
      <c r="I996" s="3"/>
    </row>
    <row r="997" spans="1:9" x14ac:dyDescent="0.3">
      <c r="A997" s="2"/>
      <c r="H997" s="3"/>
      <c r="I997" s="3"/>
    </row>
    <row r="998" spans="1:9" x14ac:dyDescent="0.3">
      <c r="A998" s="2"/>
      <c r="H998" s="3"/>
      <c r="I998" s="3"/>
    </row>
    <row r="999" spans="1:9" x14ac:dyDescent="0.3">
      <c r="A999" s="2"/>
      <c r="H999" s="3"/>
      <c r="I999" s="3"/>
    </row>
    <row r="1000" spans="1:9" x14ac:dyDescent="0.3">
      <c r="A1000" s="2"/>
      <c r="H1000" s="3"/>
      <c r="I1000" s="3"/>
    </row>
    <row r="1001" spans="1:9" x14ac:dyDescent="0.3">
      <c r="A1001" s="2"/>
      <c r="H1001" s="3"/>
      <c r="I1001" s="3"/>
    </row>
    <row r="1002" spans="1:9" x14ac:dyDescent="0.3">
      <c r="A1002" s="2"/>
      <c r="H1002" s="3"/>
      <c r="I1002" s="3"/>
    </row>
    <row r="1003" spans="1:9" x14ac:dyDescent="0.3">
      <c r="A1003" s="2"/>
      <c r="H1003" s="3"/>
      <c r="I1003" s="3"/>
    </row>
    <row r="1004" spans="1:9" x14ac:dyDescent="0.3">
      <c r="A1004" s="2"/>
      <c r="H1004" s="3"/>
      <c r="I1004" s="3"/>
    </row>
    <row r="1005" spans="1:9" x14ac:dyDescent="0.3">
      <c r="A1005" s="2"/>
      <c r="H1005" s="3"/>
      <c r="I1005" s="3"/>
    </row>
    <row r="1006" spans="1:9" x14ac:dyDescent="0.3">
      <c r="A1006" s="2"/>
      <c r="H1006" s="3"/>
      <c r="I1006" s="3"/>
    </row>
    <row r="1007" spans="1:9" x14ac:dyDescent="0.3">
      <c r="A1007" s="2"/>
      <c r="H1007" s="3"/>
      <c r="I1007" s="3"/>
    </row>
    <row r="1008" spans="1:9" x14ac:dyDescent="0.3">
      <c r="A1008" s="2"/>
      <c r="H1008" s="3"/>
      <c r="I1008" s="3"/>
    </row>
    <row r="1009" spans="1:9" x14ac:dyDescent="0.3">
      <c r="A1009" s="2"/>
      <c r="H1009" s="3"/>
      <c r="I1009" s="3"/>
    </row>
    <row r="1010" spans="1:9" x14ac:dyDescent="0.3">
      <c r="A1010" s="2"/>
      <c r="H1010" s="3"/>
      <c r="I1010" s="3"/>
    </row>
    <row r="1011" spans="1:9" x14ac:dyDescent="0.3">
      <c r="A1011" s="2"/>
      <c r="H1011" s="3"/>
      <c r="I1011" s="3"/>
    </row>
    <row r="1012" spans="1:9" x14ac:dyDescent="0.3">
      <c r="A1012" s="2"/>
      <c r="H1012" s="3"/>
      <c r="I1012" s="3"/>
    </row>
    <row r="1013" spans="1:9" x14ac:dyDescent="0.3">
      <c r="A1013" s="2"/>
      <c r="H1013" s="3"/>
      <c r="I1013" s="3"/>
    </row>
    <row r="1014" spans="1:9" x14ac:dyDescent="0.3">
      <c r="A1014" s="2"/>
      <c r="H1014" s="3"/>
      <c r="I1014" s="3"/>
    </row>
    <row r="1015" spans="1:9" x14ac:dyDescent="0.3">
      <c r="A1015" s="2"/>
      <c r="H1015" s="3"/>
      <c r="I1015" s="3"/>
    </row>
    <row r="1016" spans="1:9" x14ac:dyDescent="0.3">
      <c r="A1016" s="2"/>
      <c r="H1016" s="3"/>
      <c r="I1016" s="3"/>
    </row>
    <row r="1017" spans="1:9" x14ac:dyDescent="0.3">
      <c r="A1017" s="2"/>
      <c r="H1017" s="3"/>
      <c r="I1017" s="3"/>
    </row>
    <row r="1018" spans="1:9" x14ac:dyDescent="0.3">
      <c r="A1018" s="2"/>
      <c r="H1018" s="3"/>
      <c r="I1018" s="3"/>
    </row>
    <row r="1019" spans="1:9" x14ac:dyDescent="0.3">
      <c r="A1019" s="2"/>
      <c r="H1019" s="3"/>
      <c r="I1019" s="3"/>
    </row>
    <row r="1020" spans="1:9" x14ac:dyDescent="0.3">
      <c r="A1020" s="2"/>
      <c r="H1020" s="3"/>
      <c r="I1020" s="3"/>
    </row>
    <row r="1021" spans="1:9" x14ac:dyDescent="0.3">
      <c r="A1021" s="2"/>
      <c r="H1021" s="3"/>
      <c r="I1021" s="3"/>
    </row>
    <row r="1022" spans="1:9" x14ac:dyDescent="0.3">
      <c r="A1022" s="2"/>
      <c r="H1022" s="3"/>
      <c r="I1022" s="3"/>
    </row>
    <row r="1023" spans="1:9" x14ac:dyDescent="0.3">
      <c r="A1023" s="2"/>
      <c r="H1023" s="3"/>
      <c r="I1023" s="3"/>
    </row>
    <row r="1024" spans="1:9" x14ac:dyDescent="0.3">
      <c r="A1024" s="2"/>
      <c r="H1024" s="3"/>
      <c r="I1024" s="3"/>
    </row>
    <row r="1025" spans="1:9" x14ac:dyDescent="0.3">
      <c r="A1025" s="2"/>
      <c r="H1025" s="3"/>
      <c r="I1025" s="3"/>
    </row>
    <row r="1026" spans="1:9" x14ac:dyDescent="0.3">
      <c r="A1026" s="2"/>
      <c r="H1026" s="3"/>
      <c r="I1026" s="3"/>
    </row>
    <row r="1027" spans="1:9" x14ac:dyDescent="0.3">
      <c r="A1027" s="2"/>
      <c r="H1027" s="3"/>
      <c r="I1027" s="3"/>
    </row>
    <row r="1028" spans="1:9" x14ac:dyDescent="0.3">
      <c r="A1028" s="2"/>
      <c r="H1028" s="3"/>
      <c r="I1028" s="3"/>
    </row>
    <row r="1029" spans="1:9" x14ac:dyDescent="0.3">
      <c r="A1029" s="2"/>
      <c r="H1029" s="3"/>
      <c r="I1029" s="3"/>
    </row>
    <row r="1030" spans="1:9" x14ac:dyDescent="0.3">
      <c r="A1030" s="2"/>
      <c r="H1030" s="3"/>
      <c r="I1030" s="3"/>
    </row>
    <row r="1031" spans="1:9" x14ac:dyDescent="0.3">
      <c r="A1031" s="2"/>
      <c r="H1031" s="3"/>
      <c r="I1031" s="3"/>
    </row>
    <row r="1032" spans="1:9" x14ac:dyDescent="0.3">
      <c r="A1032" s="2"/>
      <c r="H1032" s="3"/>
      <c r="I1032" s="3"/>
    </row>
    <row r="1033" spans="1:9" x14ac:dyDescent="0.3">
      <c r="A1033" s="2"/>
      <c r="H1033" s="3"/>
      <c r="I1033" s="3"/>
    </row>
    <row r="1034" spans="1:9" x14ac:dyDescent="0.3">
      <c r="A1034" s="2"/>
      <c r="H1034" s="3"/>
      <c r="I1034" s="3"/>
    </row>
    <row r="1035" spans="1:9" x14ac:dyDescent="0.3">
      <c r="A1035" s="2"/>
      <c r="H1035" s="3"/>
      <c r="I1035" s="3"/>
    </row>
    <row r="1036" spans="1:9" x14ac:dyDescent="0.3">
      <c r="A1036" s="2"/>
      <c r="H1036" s="3"/>
      <c r="I1036" s="3"/>
    </row>
    <row r="1037" spans="1:9" x14ac:dyDescent="0.3">
      <c r="A1037" s="2"/>
      <c r="H1037" s="3"/>
      <c r="I1037" s="3"/>
    </row>
    <row r="1038" spans="1:9" x14ac:dyDescent="0.3">
      <c r="A1038" s="2"/>
      <c r="H1038" s="3"/>
      <c r="I1038" s="3"/>
    </row>
    <row r="1039" spans="1:9" x14ac:dyDescent="0.3">
      <c r="A1039" s="2"/>
      <c r="H1039" s="3"/>
      <c r="I1039" s="3"/>
    </row>
    <row r="1040" spans="1:9" x14ac:dyDescent="0.3">
      <c r="A1040" s="2"/>
      <c r="H1040" s="3"/>
      <c r="I1040" s="3"/>
    </row>
    <row r="1041" spans="1:9" x14ac:dyDescent="0.3">
      <c r="A1041" s="2"/>
      <c r="H1041" s="3"/>
      <c r="I1041" s="3"/>
    </row>
    <row r="1042" spans="1:9" x14ac:dyDescent="0.3">
      <c r="A1042" s="2"/>
      <c r="H1042" s="3"/>
      <c r="I1042" s="3"/>
    </row>
    <row r="1043" spans="1:9" x14ac:dyDescent="0.3">
      <c r="A1043" s="2"/>
      <c r="H1043" s="3"/>
      <c r="I1043" s="3"/>
    </row>
    <row r="1044" spans="1:9" x14ac:dyDescent="0.3">
      <c r="A1044" s="2"/>
      <c r="H1044" s="3"/>
      <c r="I1044" s="3"/>
    </row>
    <row r="1045" spans="1:9" x14ac:dyDescent="0.3">
      <c r="A1045" s="2"/>
      <c r="H1045" s="3"/>
      <c r="I1045" s="3"/>
    </row>
    <row r="1046" spans="1:9" x14ac:dyDescent="0.3">
      <c r="A1046" s="2"/>
      <c r="H1046" s="3"/>
      <c r="I1046" s="3"/>
    </row>
    <row r="1047" spans="1:9" x14ac:dyDescent="0.3">
      <c r="A1047" s="2"/>
      <c r="H1047" s="3"/>
      <c r="I1047" s="3"/>
    </row>
    <row r="1048" spans="1:9" x14ac:dyDescent="0.3">
      <c r="A1048" s="2"/>
      <c r="H1048" s="3"/>
      <c r="I1048" s="3"/>
    </row>
    <row r="1049" spans="1:9" x14ac:dyDescent="0.3">
      <c r="A1049" s="2"/>
      <c r="H1049" s="3"/>
      <c r="I1049" s="3"/>
    </row>
    <row r="1050" spans="1:9" x14ac:dyDescent="0.3">
      <c r="A1050" s="2"/>
      <c r="H1050" s="3"/>
      <c r="I1050" s="3"/>
    </row>
    <row r="1051" spans="1:9" x14ac:dyDescent="0.3">
      <c r="A1051" s="2"/>
      <c r="H1051" s="3"/>
      <c r="I1051" s="3"/>
    </row>
    <row r="1052" spans="1:9" x14ac:dyDescent="0.3">
      <c r="A1052" s="2"/>
      <c r="H1052" s="3"/>
      <c r="I1052" s="3"/>
    </row>
    <row r="1053" spans="1:9" x14ac:dyDescent="0.3">
      <c r="A1053" s="2"/>
      <c r="H1053" s="3"/>
      <c r="I1053" s="3"/>
    </row>
    <row r="1054" spans="1:9" x14ac:dyDescent="0.3">
      <c r="A1054" s="2"/>
      <c r="H1054" s="3"/>
      <c r="I1054" s="3"/>
    </row>
    <row r="1055" spans="1:9" x14ac:dyDescent="0.3">
      <c r="A1055" s="2"/>
      <c r="H1055" s="3"/>
      <c r="I1055" s="3"/>
    </row>
    <row r="1056" spans="1:9" x14ac:dyDescent="0.3">
      <c r="A1056" s="2"/>
      <c r="H1056" s="3"/>
      <c r="I1056" s="3"/>
    </row>
    <row r="1057" spans="1:9" x14ac:dyDescent="0.3">
      <c r="A1057" s="2"/>
      <c r="H1057" s="3"/>
      <c r="I1057" s="3"/>
    </row>
    <row r="1058" spans="1:9" x14ac:dyDescent="0.3">
      <c r="A1058" s="2"/>
      <c r="H1058" s="3"/>
      <c r="I1058" s="3"/>
    </row>
    <row r="1059" spans="1:9" x14ac:dyDescent="0.3">
      <c r="A1059" s="2"/>
      <c r="H1059" s="3"/>
      <c r="I1059" s="3"/>
    </row>
    <row r="1060" spans="1:9" x14ac:dyDescent="0.3">
      <c r="A1060" s="2"/>
      <c r="H1060" s="3"/>
      <c r="I1060" s="3"/>
    </row>
    <row r="1061" spans="1:9" x14ac:dyDescent="0.3">
      <c r="A1061" s="2"/>
      <c r="H1061" s="3"/>
      <c r="I1061" s="3"/>
    </row>
    <row r="1062" spans="1:9" x14ac:dyDescent="0.3">
      <c r="A1062" s="2"/>
      <c r="H1062" s="3"/>
      <c r="I1062" s="3"/>
    </row>
    <row r="1063" spans="1:9" x14ac:dyDescent="0.3">
      <c r="A1063" s="2"/>
      <c r="H1063" s="3"/>
      <c r="I1063" s="3"/>
    </row>
    <row r="1064" spans="1:9" x14ac:dyDescent="0.3">
      <c r="A1064" s="2"/>
      <c r="H1064" s="3"/>
      <c r="I1064" s="3"/>
    </row>
    <row r="1065" spans="1:9" x14ac:dyDescent="0.3">
      <c r="A1065" s="2"/>
      <c r="H1065" s="3"/>
      <c r="I1065" s="3"/>
    </row>
    <row r="1066" spans="1:9" x14ac:dyDescent="0.3">
      <c r="A1066" s="2"/>
      <c r="H1066" s="3"/>
      <c r="I1066" s="3"/>
    </row>
    <row r="1067" spans="1:9" x14ac:dyDescent="0.3">
      <c r="A1067" s="2"/>
      <c r="H1067" s="3"/>
      <c r="I1067" s="3"/>
    </row>
    <row r="1068" spans="1:9" x14ac:dyDescent="0.3">
      <c r="A1068" s="2"/>
      <c r="H1068" s="3"/>
      <c r="I1068" s="3"/>
    </row>
    <row r="1069" spans="1:9" x14ac:dyDescent="0.3">
      <c r="A1069" s="2"/>
      <c r="H1069" s="3"/>
      <c r="I1069" s="3"/>
    </row>
    <row r="1070" spans="1:9" x14ac:dyDescent="0.3">
      <c r="A1070" s="2"/>
      <c r="H1070" s="3"/>
      <c r="I1070" s="3"/>
    </row>
    <row r="1071" spans="1:9" x14ac:dyDescent="0.3">
      <c r="A1071" s="2"/>
      <c r="H1071" s="3"/>
      <c r="I1071" s="3"/>
    </row>
    <row r="1072" spans="1:9" x14ac:dyDescent="0.3">
      <c r="A1072" s="2"/>
      <c r="H1072" s="3"/>
      <c r="I1072" s="3"/>
    </row>
    <row r="1073" spans="1:9" x14ac:dyDescent="0.3">
      <c r="A1073" s="2"/>
      <c r="H1073" s="3"/>
      <c r="I1073" s="3"/>
    </row>
    <row r="1074" spans="1:9" x14ac:dyDescent="0.3">
      <c r="A1074" s="2"/>
      <c r="H1074" s="3"/>
      <c r="I1074" s="3"/>
    </row>
    <row r="1075" spans="1:9" x14ac:dyDescent="0.3">
      <c r="A1075" s="2"/>
      <c r="H1075" s="3"/>
      <c r="I1075" s="3"/>
    </row>
    <row r="1076" spans="1:9" x14ac:dyDescent="0.3">
      <c r="A1076" s="2"/>
      <c r="H1076" s="3"/>
      <c r="I1076" s="3"/>
    </row>
    <row r="1077" spans="1:9" x14ac:dyDescent="0.3">
      <c r="A1077" s="2"/>
      <c r="H1077" s="3"/>
      <c r="I1077" s="3"/>
    </row>
    <row r="1078" spans="1:9" x14ac:dyDescent="0.3">
      <c r="A1078" s="2"/>
      <c r="H1078" s="3"/>
      <c r="I1078" s="3"/>
    </row>
    <row r="1079" spans="1:9" x14ac:dyDescent="0.3">
      <c r="A1079" s="2"/>
      <c r="H1079" s="3"/>
      <c r="I1079" s="3"/>
    </row>
    <row r="1080" spans="1:9" x14ac:dyDescent="0.3">
      <c r="A1080" s="2"/>
      <c r="H1080" s="3"/>
      <c r="I1080" s="3"/>
    </row>
    <row r="1081" spans="1:9" x14ac:dyDescent="0.3">
      <c r="A1081" s="2"/>
      <c r="H1081" s="3"/>
      <c r="I1081" s="3"/>
    </row>
    <row r="1082" spans="1:9" x14ac:dyDescent="0.3">
      <c r="A1082" s="2"/>
      <c r="H1082" s="3"/>
      <c r="I1082" s="3"/>
    </row>
    <row r="1083" spans="1:9" x14ac:dyDescent="0.3">
      <c r="A1083" s="2"/>
      <c r="H1083" s="3"/>
      <c r="I1083" s="3"/>
    </row>
    <row r="1084" spans="1:9" x14ac:dyDescent="0.3">
      <c r="A1084" s="2"/>
      <c r="H1084" s="3"/>
      <c r="I1084" s="3"/>
    </row>
    <row r="1085" spans="1:9" x14ac:dyDescent="0.3">
      <c r="A1085" s="2"/>
      <c r="H1085" s="3"/>
      <c r="I1085" s="3"/>
    </row>
    <row r="1086" spans="1:9" x14ac:dyDescent="0.3">
      <c r="A1086" s="2"/>
      <c r="H1086" s="3"/>
      <c r="I1086" s="3"/>
    </row>
    <row r="1087" spans="1:9" x14ac:dyDescent="0.3">
      <c r="A1087" s="2"/>
      <c r="H1087" s="3"/>
      <c r="I1087" s="3"/>
    </row>
    <row r="1088" spans="1:9" x14ac:dyDescent="0.3">
      <c r="A1088" s="2"/>
      <c r="H1088" s="3"/>
      <c r="I1088" s="3"/>
    </row>
    <row r="1089" spans="1:9" x14ac:dyDescent="0.3">
      <c r="A1089" s="2"/>
      <c r="H1089" s="3"/>
      <c r="I1089" s="3"/>
    </row>
    <row r="1090" spans="1:9" x14ac:dyDescent="0.3">
      <c r="A1090" s="2"/>
      <c r="H1090" s="3"/>
      <c r="I1090" s="3"/>
    </row>
    <row r="1091" spans="1:9" x14ac:dyDescent="0.3">
      <c r="A1091" s="2"/>
      <c r="H1091" s="3"/>
      <c r="I1091" s="3"/>
    </row>
    <row r="1092" spans="1:9" x14ac:dyDescent="0.3">
      <c r="A1092" s="2"/>
      <c r="H1092" s="3"/>
      <c r="I1092" s="3"/>
    </row>
    <row r="1093" spans="1:9" x14ac:dyDescent="0.3">
      <c r="A1093" s="2"/>
      <c r="H1093" s="3"/>
      <c r="I1093" s="3"/>
    </row>
    <row r="1094" spans="1:9" x14ac:dyDescent="0.3">
      <c r="A1094" s="2"/>
      <c r="H1094" s="3"/>
      <c r="I1094" s="3"/>
    </row>
    <row r="1095" spans="1:9" x14ac:dyDescent="0.3">
      <c r="A1095" s="2"/>
      <c r="H1095" s="3"/>
      <c r="I1095" s="3"/>
    </row>
    <row r="1096" spans="1:9" x14ac:dyDescent="0.3">
      <c r="A1096" s="2"/>
      <c r="H1096" s="3"/>
      <c r="I1096" s="3"/>
    </row>
    <row r="1097" spans="1:9" x14ac:dyDescent="0.3">
      <c r="A1097" s="2"/>
      <c r="H1097" s="3"/>
      <c r="I1097" s="3"/>
    </row>
    <row r="1098" spans="1:9" x14ac:dyDescent="0.3">
      <c r="A1098" s="2"/>
      <c r="H1098" s="3"/>
      <c r="I1098" s="3"/>
    </row>
    <row r="1099" spans="1:9" x14ac:dyDescent="0.3">
      <c r="A1099" s="2"/>
      <c r="H1099" s="3"/>
      <c r="I1099" s="3"/>
    </row>
    <row r="1100" spans="1:9" x14ac:dyDescent="0.3">
      <c r="A1100" s="2"/>
      <c r="H1100" s="3"/>
      <c r="I1100" s="3"/>
    </row>
    <row r="1101" spans="1:9" x14ac:dyDescent="0.3">
      <c r="A1101" s="2"/>
      <c r="H1101" s="3"/>
      <c r="I1101" s="3"/>
    </row>
    <row r="1102" spans="1:9" x14ac:dyDescent="0.3">
      <c r="A1102" s="2"/>
      <c r="H1102" s="3"/>
      <c r="I1102" s="3"/>
    </row>
    <row r="1103" spans="1:9" x14ac:dyDescent="0.3">
      <c r="A1103" s="2"/>
      <c r="H1103" s="3"/>
      <c r="I1103" s="3"/>
    </row>
    <row r="1104" spans="1:9" x14ac:dyDescent="0.3">
      <c r="A1104" s="2"/>
      <c r="H1104" s="3"/>
      <c r="I1104" s="3"/>
    </row>
    <row r="1105" spans="1:9" x14ac:dyDescent="0.3">
      <c r="A1105" s="2"/>
      <c r="H1105" s="3"/>
      <c r="I1105" s="3"/>
    </row>
    <row r="1106" spans="1:9" x14ac:dyDescent="0.3">
      <c r="A1106" s="2"/>
      <c r="H1106" s="3"/>
      <c r="I1106" s="3"/>
    </row>
    <row r="1107" spans="1:9" x14ac:dyDescent="0.3">
      <c r="A1107" s="2"/>
      <c r="H1107" s="3"/>
      <c r="I1107" s="3"/>
    </row>
    <row r="1108" spans="1:9" x14ac:dyDescent="0.3">
      <c r="A1108" s="2"/>
      <c r="H1108" s="3"/>
      <c r="I1108" s="3"/>
    </row>
    <row r="1109" spans="1:9" x14ac:dyDescent="0.3">
      <c r="A1109" s="2"/>
      <c r="H1109" s="3"/>
      <c r="I1109" s="3"/>
    </row>
    <row r="1110" spans="1:9" x14ac:dyDescent="0.3">
      <c r="A1110" s="2"/>
      <c r="H1110" s="3"/>
      <c r="I1110" s="3"/>
    </row>
    <row r="1111" spans="1:9" x14ac:dyDescent="0.3">
      <c r="A1111" s="2"/>
      <c r="H1111" s="3"/>
      <c r="I1111" s="3"/>
    </row>
    <row r="1112" spans="1:9" x14ac:dyDescent="0.3">
      <c r="A1112" s="2"/>
      <c r="H1112" s="3"/>
      <c r="I1112" s="3"/>
    </row>
    <row r="1113" spans="1:9" x14ac:dyDescent="0.3">
      <c r="A1113" s="2"/>
      <c r="H1113" s="3"/>
      <c r="I1113" s="3"/>
    </row>
    <row r="1114" spans="1:9" x14ac:dyDescent="0.3">
      <c r="A1114" s="2"/>
      <c r="H1114" s="3"/>
      <c r="I1114" s="3"/>
    </row>
    <row r="1115" spans="1:9" x14ac:dyDescent="0.3">
      <c r="A1115" s="2"/>
      <c r="H1115" s="3"/>
      <c r="I1115" s="3"/>
    </row>
    <row r="1116" spans="1:9" x14ac:dyDescent="0.3">
      <c r="A1116" s="2"/>
      <c r="H1116" s="3"/>
      <c r="I1116" s="3"/>
    </row>
    <row r="1117" spans="1:9" x14ac:dyDescent="0.3">
      <c r="A1117" s="2"/>
      <c r="H1117" s="3"/>
      <c r="I1117" s="3"/>
    </row>
    <row r="1118" spans="1:9" x14ac:dyDescent="0.3">
      <c r="A1118" s="2"/>
      <c r="H1118" s="3"/>
      <c r="I1118" s="3"/>
    </row>
    <row r="1119" spans="1:9" x14ac:dyDescent="0.3">
      <c r="A1119" s="2"/>
      <c r="H1119" s="3"/>
      <c r="I1119" s="3"/>
    </row>
    <row r="1120" spans="1:9" x14ac:dyDescent="0.3">
      <c r="A1120" s="2"/>
      <c r="H1120" s="3"/>
      <c r="I1120" s="3"/>
    </row>
    <row r="1121" spans="1:9" x14ac:dyDescent="0.3">
      <c r="A1121" s="2"/>
      <c r="H1121" s="3"/>
      <c r="I1121" s="3"/>
    </row>
    <row r="1122" spans="1:9" x14ac:dyDescent="0.3">
      <c r="A1122" s="2"/>
      <c r="H1122" s="3"/>
      <c r="I1122" s="3"/>
    </row>
    <row r="1123" spans="1:9" x14ac:dyDescent="0.3">
      <c r="A1123" s="2"/>
      <c r="H1123" s="3"/>
      <c r="I1123" s="3"/>
    </row>
    <row r="1124" spans="1:9" x14ac:dyDescent="0.3">
      <c r="A1124" s="2"/>
      <c r="H1124" s="3"/>
      <c r="I1124" s="3"/>
    </row>
    <row r="1125" spans="1:9" x14ac:dyDescent="0.3">
      <c r="A1125" s="2"/>
      <c r="H1125" s="3"/>
      <c r="I1125" s="3"/>
    </row>
    <row r="1126" spans="1:9" x14ac:dyDescent="0.3">
      <c r="A1126" s="2"/>
      <c r="H1126" s="3"/>
      <c r="I1126" s="3"/>
    </row>
    <row r="1127" spans="1:9" x14ac:dyDescent="0.3">
      <c r="A1127" s="2"/>
      <c r="H1127" s="3"/>
      <c r="I1127" s="3"/>
    </row>
    <row r="1128" spans="1:9" x14ac:dyDescent="0.3">
      <c r="A1128" s="2"/>
      <c r="H1128" s="3"/>
      <c r="I1128" s="3"/>
    </row>
    <row r="1129" spans="1:9" x14ac:dyDescent="0.3">
      <c r="A1129" s="2"/>
      <c r="H1129" s="3"/>
      <c r="I1129" s="3"/>
    </row>
    <row r="1130" spans="1:9" x14ac:dyDescent="0.3">
      <c r="A1130" s="2"/>
      <c r="H1130" s="3"/>
      <c r="I1130" s="3"/>
    </row>
    <row r="1131" spans="1:9" x14ac:dyDescent="0.3">
      <c r="A1131" s="2"/>
      <c r="H1131" s="3"/>
      <c r="I1131" s="3"/>
    </row>
    <row r="1132" spans="1:9" x14ac:dyDescent="0.3">
      <c r="A1132" s="2"/>
      <c r="H1132" s="3"/>
      <c r="I1132" s="3"/>
    </row>
    <row r="1133" spans="1:9" x14ac:dyDescent="0.3">
      <c r="A1133" s="2"/>
      <c r="H1133" s="3"/>
      <c r="I1133" s="3"/>
    </row>
    <row r="1134" spans="1:9" x14ac:dyDescent="0.3">
      <c r="A1134" s="2"/>
      <c r="H1134" s="3"/>
      <c r="I1134" s="3"/>
    </row>
    <row r="1135" spans="1:9" x14ac:dyDescent="0.3">
      <c r="A1135" s="2"/>
      <c r="H1135" s="3"/>
      <c r="I1135" s="3"/>
    </row>
    <row r="1136" spans="1:9" x14ac:dyDescent="0.3">
      <c r="A1136" s="2"/>
      <c r="H1136" s="3"/>
      <c r="I1136" s="3"/>
    </row>
    <row r="1137" spans="1:9" x14ac:dyDescent="0.3">
      <c r="A1137" s="2"/>
      <c r="H1137" s="3"/>
      <c r="I1137" s="3"/>
    </row>
    <row r="1138" spans="1:9" x14ac:dyDescent="0.3">
      <c r="A1138" s="2"/>
      <c r="H1138" s="3"/>
      <c r="I1138" s="3"/>
    </row>
    <row r="1139" spans="1:9" x14ac:dyDescent="0.3">
      <c r="A1139" s="2"/>
      <c r="H1139" s="3"/>
      <c r="I1139" s="3"/>
    </row>
    <row r="1140" spans="1:9" x14ac:dyDescent="0.3">
      <c r="A1140" s="2"/>
      <c r="H1140" s="3"/>
      <c r="I1140" s="3"/>
    </row>
    <row r="1141" spans="1:9" x14ac:dyDescent="0.3">
      <c r="A1141" s="2"/>
      <c r="H1141" s="3"/>
      <c r="I1141" s="3"/>
    </row>
    <row r="1142" spans="1:9" x14ac:dyDescent="0.3">
      <c r="A1142" s="2"/>
      <c r="H1142" s="3"/>
      <c r="I1142" s="3"/>
    </row>
    <row r="1143" spans="1:9" x14ac:dyDescent="0.3">
      <c r="A1143" s="2"/>
      <c r="H1143" s="3"/>
      <c r="I1143" s="3"/>
    </row>
    <row r="1144" spans="1:9" x14ac:dyDescent="0.3">
      <c r="A1144" s="2"/>
      <c r="H1144" s="3"/>
      <c r="I1144" s="3"/>
    </row>
    <row r="1145" spans="1:9" x14ac:dyDescent="0.3">
      <c r="A1145" s="2"/>
      <c r="H1145" s="3"/>
      <c r="I1145" s="3"/>
    </row>
    <row r="1146" spans="1:9" x14ac:dyDescent="0.3">
      <c r="A1146" s="2"/>
      <c r="H1146" s="3"/>
      <c r="I1146" s="3"/>
    </row>
    <row r="1147" spans="1:9" x14ac:dyDescent="0.3">
      <c r="A1147" s="2"/>
      <c r="H1147" s="3"/>
      <c r="I1147" s="3"/>
    </row>
    <row r="1148" spans="1:9" x14ac:dyDescent="0.3">
      <c r="A1148" s="2"/>
      <c r="H1148" s="3"/>
      <c r="I1148" s="3"/>
    </row>
    <row r="1149" spans="1:9" x14ac:dyDescent="0.3">
      <c r="A1149" s="2"/>
      <c r="H1149" s="3"/>
      <c r="I1149" s="3"/>
    </row>
    <row r="1150" spans="1:9" x14ac:dyDescent="0.3">
      <c r="A1150" s="2"/>
      <c r="H1150" s="3"/>
      <c r="I1150" s="3"/>
    </row>
    <row r="1151" spans="1:9" x14ac:dyDescent="0.3">
      <c r="A1151" s="2"/>
      <c r="H1151" s="3"/>
      <c r="I1151" s="3"/>
    </row>
    <row r="1152" spans="1:9" x14ac:dyDescent="0.3">
      <c r="A1152" s="2"/>
      <c r="H1152" s="3"/>
      <c r="I1152" s="3"/>
    </row>
    <row r="1153" spans="1:9" x14ac:dyDescent="0.3">
      <c r="A1153" s="2"/>
      <c r="H1153" s="3"/>
      <c r="I1153" s="3"/>
    </row>
    <row r="1154" spans="1:9" x14ac:dyDescent="0.3">
      <c r="A1154" s="2"/>
      <c r="H1154" s="3"/>
      <c r="I1154" s="3"/>
    </row>
    <row r="1155" spans="1:9" x14ac:dyDescent="0.3">
      <c r="A1155" s="2"/>
      <c r="H1155" s="3"/>
      <c r="I1155" s="3"/>
    </row>
    <row r="1156" spans="1:9" x14ac:dyDescent="0.3">
      <c r="A1156" s="2"/>
      <c r="H1156" s="3"/>
      <c r="I1156" s="3"/>
    </row>
    <row r="1157" spans="1:9" x14ac:dyDescent="0.3">
      <c r="A1157" s="2"/>
      <c r="H1157" s="3"/>
      <c r="I1157" s="3"/>
    </row>
    <row r="1158" spans="1:9" x14ac:dyDescent="0.3">
      <c r="A1158" s="2"/>
      <c r="H1158" s="3"/>
      <c r="I1158" s="3"/>
    </row>
    <row r="1159" spans="1:9" x14ac:dyDescent="0.3">
      <c r="A1159" s="2"/>
      <c r="H1159" s="3"/>
      <c r="I1159" s="3"/>
    </row>
    <row r="1160" spans="1:9" x14ac:dyDescent="0.3">
      <c r="A1160" s="2"/>
      <c r="H1160" s="3"/>
      <c r="I1160" s="3"/>
    </row>
    <row r="1161" spans="1:9" x14ac:dyDescent="0.3">
      <c r="A1161" s="2"/>
      <c r="H1161" s="3"/>
      <c r="I1161" s="3"/>
    </row>
    <row r="1162" spans="1:9" x14ac:dyDescent="0.3">
      <c r="A1162" s="2"/>
      <c r="H1162" s="3"/>
      <c r="I1162" s="3"/>
    </row>
    <row r="1163" spans="1:9" x14ac:dyDescent="0.3">
      <c r="A1163" s="2"/>
      <c r="H1163" s="3"/>
      <c r="I1163" s="3"/>
    </row>
    <row r="1164" spans="1:9" x14ac:dyDescent="0.3">
      <c r="A1164" s="2"/>
      <c r="H1164" s="3"/>
      <c r="I1164" s="3"/>
    </row>
    <row r="1165" spans="1:9" x14ac:dyDescent="0.3">
      <c r="A1165" s="2"/>
      <c r="H1165" s="3"/>
      <c r="I1165" s="3"/>
    </row>
    <row r="1166" spans="1:9" x14ac:dyDescent="0.3">
      <c r="A1166" s="2"/>
      <c r="H1166" s="3"/>
      <c r="I1166" s="3"/>
    </row>
    <row r="1167" spans="1:9" x14ac:dyDescent="0.3">
      <c r="A1167" s="2"/>
      <c r="H1167" s="3"/>
      <c r="I1167" s="3"/>
    </row>
    <row r="1168" spans="1:9" x14ac:dyDescent="0.3">
      <c r="A1168" s="2"/>
      <c r="H1168" s="3"/>
      <c r="I1168" s="3"/>
    </row>
    <row r="1169" spans="1:9" x14ac:dyDescent="0.3">
      <c r="A1169" s="2"/>
      <c r="H1169" s="3"/>
      <c r="I1169" s="3"/>
    </row>
    <row r="1170" spans="1:9" x14ac:dyDescent="0.3">
      <c r="A1170" s="2"/>
      <c r="H1170" s="3"/>
      <c r="I1170" s="3"/>
    </row>
    <row r="1171" spans="1:9" x14ac:dyDescent="0.3">
      <c r="A1171" s="2"/>
      <c r="H1171" s="3"/>
      <c r="I1171" s="3"/>
    </row>
    <row r="1172" spans="1:9" x14ac:dyDescent="0.3">
      <c r="A1172" s="2"/>
      <c r="H1172" s="3"/>
      <c r="I1172" s="3"/>
    </row>
    <row r="1173" spans="1:9" x14ac:dyDescent="0.3">
      <c r="A1173" s="2"/>
      <c r="H1173" s="3"/>
      <c r="I1173" s="3"/>
    </row>
    <row r="1174" spans="1:9" x14ac:dyDescent="0.3">
      <c r="A1174" s="2"/>
      <c r="H1174" s="3"/>
      <c r="I1174" s="3"/>
    </row>
    <row r="1175" spans="1:9" x14ac:dyDescent="0.3">
      <c r="A1175" s="2"/>
      <c r="H1175" s="3"/>
      <c r="I1175" s="3"/>
    </row>
    <row r="1176" spans="1:9" x14ac:dyDescent="0.3">
      <c r="A1176" s="2"/>
      <c r="H1176" s="3"/>
      <c r="I1176" s="3"/>
    </row>
    <row r="1177" spans="1:9" x14ac:dyDescent="0.3">
      <c r="A1177" s="2"/>
      <c r="H1177" s="3"/>
      <c r="I1177" s="3"/>
    </row>
    <row r="1178" spans="1:9" x14ac:dyDescent="0.3">
      <c r="A1178" s="2"/>
      <c r="H1178" s="3"/>
      <c r="I1178" s="3"/>
    </row>
    <row r="1179" spans="1:9" x14ac:dyDescent="0.3">
      <c r="A1179" s="2"/>
      <c r="H1179" s="3"/>
      <c r="I1179" s="3"/>
    </row>
    <row r="1180" spans="1:9" x14ac:dyDescent="0.3">
      <c r="A1180" s="2"/>
      <c r="H1180" s="3"/>
      <c r="I1180" s="3"/>
    </row>
    <row r="1181" spans="1:9" x14ac:dyDescent="0.3">
      <c r="A1181" s="2"/>
      <c r="H1181" s="3"/>
      <c r="I1181" s="3"/>
    </row>
    <row r="1182" spans="1:9" x14ac:dyDescent="0.3">
      <c r="A1182" s="2"/>
      <c r="H1182" s="3"/>
      <c r="I1182" s="3"/>
    </row>
    <row r="1183" spans="1:9" x14ac:dyDescent="0.3">
      <c r="A1183" s="2"/>
      <c r="H1183" s="3"/>
      <c r="I1183" s="3"/>
    </row>
    <row r="1184" spans="1:9" x14ac:dyDescent="0.3">
      <c r="A1184" s="2"/>
      <c r="H1184" s="3"/>
      <c r="I1184" s="3"/>
    </row>
    <row r="1185" spans="1:9" x14ac:dyDescent="0.3">
      <c r="A1185" s="2"/>
      <c r="H1185" s="3"/>
      <c r="I1185" s="3"/>
    </row>
    <row r="1186" spans="1:9" x14ac:dyDescent="0.3">
      <c r="A1186" s="2"/>
      <c r="H1186" s="3"/>
      <c r="I1186" s="3"/>
    </row>
    <row r="1187" spans="1:9" x14ac:dyDescent="0.3">
      <c r="A1187" s="2"/>
      <c r="H1187" s="3"/>
      <c r="I1187" s="3"/>
    </row>
    <row r="1188" spans="1:9" x14ac:dyDescent="0.3">
      <c r="A1188" s="2"/>
      <c r="H1188" s="3"/>
      <c r="I1188" s="3"/>
    </row>
    <row r="1189" spans="1:9" x14ac:dyDescent="0.3">
      <c r="A1189" s="2"/>
      <c r="H1189" s="3"/>
      <c r="I1189" s="3"/>
    </row>
    <row r="1190" spans="1:9" x14ac:dyDescent="0.3">
      <c r="A1190" s="2"/>
      <c r="H1190" s="3"/>
      <c r="I1190" s="3"/>
    </row>
    <row r="1191" spans="1:9" x14ac:dyDescent="0.3">
      <c r="A1191" s="2"/>
      <c r="H1191" s="3"/>
      <c r="I1191" s="3"/>
    </row>
    <row r="1192" spans="1:9" x14ac:dyDescent="0.3">
      <c r="A1192" s="2"/>
      <c r="H1192" s="3"/>
      <c r="I1192" s="3"/>
    </row>
    <row r="1193" spans="1:9" x14ac:dyDescent="0.3">
      <c r="A1193" s="2"/>
      <c r="H1193" s="3"/>
      <c r="I1193" s="3"/>
    </row>
    <row r="1194" spans="1:9" x14ac:dyDescent="0.3">
      <c r="A1194" s="2"/>
      <c r="H1194" s="3"/>
      <c r="I1194" s="3"/>
    </row>
    <row r="1195" spans="1:9" x14ac:dyDescent="0.3">
      <c r="A1195" s="2"/>
      <c r="H1195" s="3"/>
      <c r="I1195" s="3"/>
    </row>
    <row r="1196" spans="1:9" x14ac:dyDescent="0.3">
      <c r="A1196" s="2"/>
      <c r="H1196" s="3"/>
      <c r="I1196" s="3"/>
    </row>
    <row r="1197" spans="1:9" x14ac:dyDescent="0.3">
      <c r="A1197" s="2"/>
      <c r="H1197" s="3"/>
      <c r="I1197" s="3"/>
    </row>
    <row r="1198" spans="1:9" x14ac:dyDescent="0.3">
      <c r="A1198" s="2"/>
      <c r="H1198" s="3"/>
      <c r="I1198" s="3"/>
    </row>
    <row r="1199" spans="1:9" x14ac:dyDescent="0.3">
      <c r="A1199" s="2"/>
      <c r="H1199" s="3"/>
      <c r="I1199" s="3"/>
    </row>
    <row r="1200" spans="1:9" x14ac:dyDescent="0.3">
      <c r="A1200" s="2"/>
      <c r="H1200" s="3"/>
      <c r="I1200" s="3"/>
    </row>
    <row r="1201" spans="1:9" x14ac:dyDescent="0.3">
      <c r="A1201" s="2"/>
      <c r="H1201" s="3"/>
      <c r="I1201" s="3"/>
    </row>
    <row r="1202" spans="1:9" x14ac:dyDescent="0.3">
      <c r="A1202" s="2"/>
      <c r="H1202" s="3"/>
      <c r="I1202" s="3"/>
    </row>
    <row r="1203" spans="1:9" x14ac:dyDescent="0.3">
      <c r="A1203" s="2"/>
      <c r="H1203" s="3"/>
      <c r="I1203" s="3"/>
    </row>
    <row r="1204" spans="1:9" x14ac:dyDescent="0.3">
      <c r="A1204" s="2"/>
      <c r="H1204" s="3"/>
      <c r="I1204" s="3"/>
    </row>
    <row r="1205" spans="1:9" x14ac:dyDescent="0.3">
      <c r="A1205" s="2"/>
      <c r="H1205" s="3"/>
      <c r="I1205" s="3"/>
    </row>
    <row r="1206" spans="1:9" x14ac:dyDescent="0.3">
      <c r="A1206" s="2"/>
      <c r="H1206" s="3"/>
      <c r="I1206" s="3"/>
    </row>
    <row r="1207" spans="1:9" x14ac:dyDescent="0.3">
      <c r="A1207" s="2"/>
      <c r="H1207" s="3"/>
      <c r="I1207" s="3"/>
    </row>
    <row r="1208" spans="1:9" x14ac:dyDescent="0.3">
      <c r="A1208" s="2"/>
      <c r="H1208" s="3"/>
      <c r="I1208" s="3"/>
    </row>
    <row r="1209" spans="1:9" x14ac:dyDescent="0.3">
      <c r="A1209" s="2"/>
      <c r="H1209" s="3"/>
      <c r="I1209" s="3"/>
    </row>
    <row r="1210" spans="1:9" x14ac:dyDescent="0.3">
      <c r="A1210" s="2"/>
      <c r="H1210" s="3"/>
      <c r="I1210" s="3"/>
    </row>
    <row r="1211" spans="1:9" x14ac:dyDescent="0.3">
      <c r="A1211" s="2"/>
      <c r="H1211" s="3"/>
      <c r="I1211" s="3"/>
    </row>
    <row r="1212" spans="1:9" x14ac:dyDescent="0.3">
      <c r="A1212" s="2"/>
      <c r="H1212" s="3"/>
      <c r="I1212" s="3"/>
    </row>
    <row r="1213" spans="1:9" x14ac:dyDescent="0.3">
      <c r="A1213" s="2"/>
      <c r="H1213" s="3"/>
      <c r="I1213" s="3"/>
    </row>
    <row r="1214" spans="1:9" x14ac:dyDescent="0.3">
      <c r="A1214" s="2"/>
      <c r="H1214" s="3"/>
      <c r="I1214" s="3"/>
    </row>
    <row r="1215" spans="1:9" x14ac:dyDescent="0.3">
      <c r="A1215" s="2"/>
      <c r="H1215" s="3"/>
      <c r="I1215" s="3"/>
    </row>
    <row r="1216" spans="1:9" x14ac:dyDescent="0.3">
      <c r="A1216" s="2"/>
      <c r="H1216" s="3"/>
      <c r="I1216" s="3"/>
    </row>
    <row r="1217" spans="1:9" x14ac:dyDescent="0.3">
      <c r="A1217" s="2"/>
      <c r="H1217" s="3"/>
      <c r="I1217" s="3"/>
    </row>
    <row r="1218" spans="1:9" x14ac:dyDescent="0.3">
      <c r="A1218" s="2"/>
      <c r="H1218" s="3"/>
      <c r="I1218" s="3"/>
    </row>
    <row r="1219" spans="1:9" x14ac:dyDescent="0.3">
      <c r="A1219" s="2"/>
      <c r="H1219" s="3"/>
      <c r="I1219" s="3"/>
    </row>
    <row r="1220" spans="1:9" x14ac:dyDescent="0.3">
      <c r="A1220" s="2"/>
      <c r="H1220" s="3"/>
      <c r="I1220" s="3"/>
    </row>
    <row r="1221" spans="1:9" x14ac:dyDescent="0.3">
      <c r="A1221" s="2"/>
      <c r="H1221" s="3"/>
      <c r="I1221" s="3"/>
    </row>
    <row r="1222" spans="1:9" x14ac:dyDescent="0.3">
      <c r="A1222" s="2"/>
      <c r="H1222" s="3"/>
      <c r="I1222" s="3"/>
    </row>
    <row r="1223" spans="1:9" x14ac:dyDescent="0.3">
      <c r="A1223" s="2"/>
      <c r="H1223" s="3"/>
      <c r="I1223" s="3"/>
    </row>
    <row r="1224" spans="1:9" x14ac:dyDescent="0.3">
      <c r="A1224" s="2"/>
      <c r="H1224" s="3"/>
      <c r="I1224" s="3"/>
    </row>
    <row r="1225" spans="1:9" x14ac:dyDescent="0.3">
      <c r="A1225" s="2"/>
      <c r="H1225" s="3"/>
      <c r="I1225" s="3"/>
    </row>
    <row r="1226" spans="1:9" x14ac:dyDescent="0.3">
      <c r="A1226" s="2"/>
      <c r="H1226" s="3"/>
      <c r="I1226" s="3"/>
    </row>
    <row r="1227" spans="1:9" x14ac:dyDescent="0.3">
      <c r="A1227" s="2"/>
      <c r="H1227" s="3"/>
      <c r="I1227" s="3"/>
    </row>
    <row r="1228" spans="1:9" x14ac:dyDescent="0.3">
      <c r="A1228" s="2"/>
      <c r="H1228" s="3"/>
      <c r="I1228" s="3"/>
    </row>
    <row r="1229" spans="1:9" x14ac:dyDescent="0.3">
      <c r="A1229" s="2"/>
      <c r="H1229" s="3"/>
      <c r="I1229" s="3"/>
    </row>
    <row r="1230" spans="1:9" x14ac:dyDescent="0.3">
      <c r="A1230" s="2"/>
      <c r="H1230" s="3"/>
      <c r="I1230" s="3"/>
    </row>
    <row r="1231" spans="1:9" x14ac:dyDescent="0.3">
      <c r="A1231" s="2"/>
      <c r="H1231" s="3"/>
      <c r="I1231" s="3"/>
    </row>
    <row r="1232" spans="1:9" x14ac:dyDescent="0.3">
      <c r="A1232" s="2"/>
      <c r="H1232" s="3"/>
      <c r="I1232" s="3"/>
    </row>
    <row r="1233" spans="1:9" x14ac:dyDescent="0.3">
      <c r="A1233" s="2"/>
      <c r="H1233" s="3"/>
      <c r="I1233" s="3"/>
    </row>
    <row r="1234" spans="1:9" x14ac:dyDescent="0.3">
      <c r="A1234" s="2"/>
      <c r="H1234" s="3"/>
      <c r="I1234" s="3"/>
    </row>
    <row r="1235" spans="1:9" x14ac:dyDescent="0.3">
      <c r="A1235" s="2"/>
      <c r="H1235" s="3"/>
      <c r="I1235" s="3"/>
    </row>
    <row r="1236" spans="1:9" x14ac:dyDescent="0.3">
      <c r="A1236" s="2"/>
      <c r="H1236" s="3"/>
      <c r="I1236" s="3"/>
    </row>
    <row r="1237" spans="1:9" x14ac:dyDescent="0.3">
      <c r="A1237" s="2"/>
      <c r="H1237" s="3"/>
      <c r="I1237" s="3"/>
    </row>
    <row r="1238" spans="1:9" x14ac:dyDescent="0.3">
      <c r="A1238" s="2"/>
      <c r="H1238" s="3"/>
      <c r="I1238" s="3"/>
    </row>
    <row r="1239" spans="1:9" x14ac:dyDescent="0.3">
      <c r="A1239" s="2"/>
      <c r="H1239" s="3"/>
      <c r="I1239" s="3"/>
    </row>
    <row r="1240" spans="1:9" x14ac:dyDescent="0.3">
      <c r="A1240" s="2"/>
      <c r="H1240" s="3"/>
      <c r="I1240" s="3"/>
    </row>
    <row r="1241" spans="1:9" x14ac:dyDescent="0.3">
      <c r="A1241" s="2"/>
      <c r="H1241" s="3"/>
      <c r="I1241" s="3"/>
    </row>
    <row r="1242" spans="1:9" x14ac:dyDescent="0.3">
      <c r="A1242" s="2"/>
      <c r="H1242" s="3"/>
      <c r="I1242" s="3"/>
    </row>
    <row r="1243" spans="1:9" x14ac:dyDescent="0.3">
      <c r="A1243" s="2"/>
      <c r="H1243" s="3"/>
      <c r="I1243" s="3"/>
    </row>
    <row r="1244" spans="1:9" x14ac:dyDescent="0.3">
      <c r="A1244" s="2"/>
      <c r="H1244" s="3"/>
      <c r="I1244" s="3"/>
    </row>
    <row r="1245" spans="1:9" x14ac:dyDescent="0.3">
      <c r="A1245" s="2"/>
      <c r="H1245" s="3"/>
      <c r="I1245" s="3"/>
    </row>
    <row r="1246" spans="1:9" x14ac:dyDescent="0.3">
      <c r="A1246" s="2"/>
      <c r="H1246" s="3"/>
      <c r="I1246" s="3"/>
    </row>
    <row r="1247" spans="1:9" x14ac:dyDescent="0.3">
      <c r="A1247" s="2"/>
      <c r="H1247" s="3"/>
      <c r="I1247" s="3"/>
    </row>
    <row r="1248" spans="1:9" x14ac:dyDescent="0.3">
      <c r="A1248" s="2"/>
      <c r="H1248" s="3"/>
      <c r="I1248" s="3"/>
    </row>
    <row r="1249" spans="1:9" x14ac:dyDescent="0.3">
      <c r="A1249" s="2"/>
      <c r="H1249" s="3"/>
      <c r="I1249" s="3"/>
    </row>
    <row r="1250" spans="1:9" x14ac:dyDescent="0.3">
      <c r="A1250" s="2"/>
      <c r="H1250" s="3"/>
      <c r="I1250" s="3"/>
    </row>
    <row r="1251" spans="1:9" x14ac:dyDescent="0.3">
      <c r="A1251" s="2"/>
      <c r="H1251" s="3"/>
      <c r="I1251" s="3"/>
    </row>
    <row r="1252" spans="1:9" x14ac:dyDescent="0.3">
      <c r="A1252" s="2"/>
      <c r="H1252" s="3"/>
      <c r="I1252" s="3"/>
    </row>
    <row r="1253" spans="1:9" x14ac:dyDescent="0.3">
      <c r="A1253" s="2"/>
      <c r="H1253" s="3"/>
      <c r="I1253" s="3"/>
    </row>
    <row r="1254" spans="1:9" x14ac:dyDescent="0.3">
      <c r="A1254" s="2"/>
      <c r="H1254" s="3"/>
      <c r="I1254" s="3"/>
    </row>
    <row r="1255" spans="1:9" x14ac:dyDescent="0.3">
      <c r="A1255" s="2"/>
      <c r="H1255" s="3"/>
      <c r="I1255" s="3"/>
    </row>
    <row r="1256" spans="1:9" x14ac:dyDescent="0.3">
      <c r="A1256" s="2"/>
      <c r="H1256" s="3"/>
      <c r="I1256" s="3"/>
    </row>
    <row r="1257" spans="1:9" x14ac:dyDescent="0.3">
      <c r="A1257" s="2"/>
      <c r="H1257" s="3"/>
      <c r="I1257" s="3"/>
    </row>
    <row r="1258" spans="1:9" x14ac:dyDescent="0.3">
      <c r="A1258" s="2"/>
      <c r="H1258" s="3"/>
      <c r="I1258" s="3"/>
    </row>
    <row r="1259" spans="1:9" x14ac:dyDescent="0.3">
      <c r="A1259" s="2"/>
      <c r="H1259" s="3"/>
      <c r="I1259" s="3"/>
    </row>
    <row r="1260" spans="1:9" x14ac:dyDescent="0.3">
      <c r="A1260" s="2"/>
      <c r="H1260" s="3"/>
      <c r="I1260" s="3"/>
    </row>
    <row r="1261" spans="1:9" x14ac:dyDescent="0.3">
      <c r="A1261" s="2"/>
      <c r="H1261" s="3"/>
      <c r="I1261" s="3"/>
    </row>
    <row r="1262" spans="1:9" x14ac:dyDescent="0.3">
      <c r="A1262" s="2"/>
      <c r="H1262" s="3"/>
      <c r="I1262" s="3"/>
    </row>
    <row r="1263" spans="1:9" x14ac:dyDescent="0.3">
      <c r="A1263" s="2"/>
      <c r="H1263" s="3"/>
      <c r="I1263" s="3"/>
    </row>
    <row r="1264" spans="1:9" x14ac:dyDescent="0.3">
      <c r="A1264" s="2"/>
      <c r="H1264" s="3"/>
      <c r="I1264" s="3"/>
    </row>
    <row r="1265" spans="1:9" x14ac:dyDescent="0.3">
      <c r="A1265" s="2"/>
      <c r="H1265" s="3"/>
      <c r="I1265" s="3"/>
    </row>
    <row r="1266" spans="1:9" x14ac:dyDescent="0.3">
      <c r="A1266" s="2"/>
      <c r="H1266" s="3"/>
      <c r="I1266" s="3"/>
    </row>
    <row r="1267" spans="1:9" x14ac:dyDescent="0.3">
      <c r="A1267" s="2"/>
      <c r="H1267" s="3"/>
      <c r="I1267" s="3"/>
    </row>
    <row r="1268" spans="1:9" x14ac:dyDescent="0.3">
      <c r="A1268" s="2"/>
      <c r="H1268" s="3"/>
      <c r="I1268" s="3"/>
    </row>
    <row r="1269" spans="1:9" x14ac:dyDescent="0.3">
      <c r="A1269" s="2"/>
      <c r="H1269" s="3"/>
      <c r="I1269" s="3"/>
    </row>
    <row r="1270" spans="1:9" x14ac:dyDescent="0.3">
      <c r="A1270" s="2"/>
      <c r="H1270" s="3"/>
      <c r="I1270" s="3"/>
    </row>
    <row r="1271" spans="1:9" x14ac:dyDescent="0.3">
      <c r="A1271" s="2"/>
      <c r="H1271" s="3"/>
      <c r="I1271" s="3"/>
    </row>
    <row r="1272" spans="1:9" x14ac:dyDescent="0.3">
      <c r="A1272" s="2"/>
      <c r="H1272" s="3"/>
      <c r="I1272" s="3"/>
    </row>
    <row r="1273" spans="1:9" x14ac:dyDescent="0.3">
      <c r="A1273" s="2"/>
      <c r="H1273" s="3"/>
      <c r="I1273" s="3"/>
    </row>
    <row r="1274" spans="1:9" x14ac:dyDescent="0.3">
      <c r="A1274" s="2"/>
      <c r="H1274" s="3"/>
      <c r="I1274" s="3"/>
    </row>
    <row r="1275" spans="1:9" x14ac:dyDescent="0.3">
      <c r="A1275" s="2"/>
      <c r="H1275" s="3"/>
      <c r="I1275" s="3"/>
    </row>
    <row r="1276" spans="1:9" x14ac:dyDescent="0.3">
      <c r="A1276" s="2"/>
      <c r="H1276" s="3"/>
      <c r="I1276" s="3"/>
    </row>
    <row r="1277" spans="1:9" x14ac:dyDescent="0.3">
      <c r="A1277" s="2"/>
      <c r="H1277" s="3"/>
      <c r="I1277" s="3"/>
    </row>
    <row r="1278" spans="1:9" x14ac:dyDescent="0.3">
      <c r="A1278" s="2"/>
      <c r="H1278" s="3"/>
      <c r="I1278" s="3"/>
    </row>
    <row r="1279" spans="1:9" x14ac:dyDescent="0.3">
      <c r="A1279" s="2"/>
      <c r="H1279" s="3"/>
      <c r="I1279" s="3"/>
    </row>
    <row r="1280" spans="1:9" x14ac:dyDescent="0.3">
      <c r="A1280" s="2"/>
      <c r="H1280" s="3"/>
      <c r="I1280" s="3"/>
    </row>
    <row r="1281" spans="1:9" x14ac:dyDescent="0.3">
      <c r="A1281" s="2"/>
      <c r="H1281" s="3"/>
      <c r="I1281" s="3"/>
    </row>
    <row r="1282" spans="1:9" x14ac:dyDescent="0.3">
      <c r="A1282" s="2"/>
      <c r="H1282" s="3"/>
      <c r="I1282" s="3"/>
    </row>
    <row r="1283" spans="1:9" x14ac:dyDescent="0.3">
      <c r="A1283" s="2"/>
      <c r="H1283" s="3"/>
      <c r="I1283" s="3"/>
    </row>
    <row r="1284" spans="1:9" x14ac:dyDescent="0.3">
      <c r="A1284" s="2"/>
      <c r="H1284" s="3"/>
      <c r="I1284" s="3"/>
    </row>
    <row r="1285" spans="1:9" x14ac:dyDescent="0.3">
      <c r="A1285" s="2"/>
      <c r="H1285" s="3"/>
      <c r="I1285" s="3"/>
    </row>
    <row r="1286" spans="1:9" x14ac:dyDescent="0.3">
      <c r="A1286" s="2"/>
      <c r="H1286" s="3"/>
      <c r="I1286" s="3"/>
    </row>
    <row r="1287" spans="1:9" x14ac:dyDescent="0.3">
      <c r="A1287" s="2"/>
      <c r="H1287" s="3"/>
      <c r="I1287" s="3"/>
    </row>
    <row r="1288" spans="1:9" x14ac:dyDescent="0.3">
      <c r="A1288" s="2"/>
      <c r="H1288" s="3"/>
      <c r="I1288" s="3"/>
    </row>
    <row r="1289" spans="1:9" x14ac:dyDescent="0.3">
      <c r="A1289" s="2"/>
      <c r="H1289" s="3"/>
      <c r="I1289" s="3"/>
    </row>
    <row r="1290" spans="1:9" x14ac:dyDescent="0.3">
      <c r="A1290" s="2"/>
      <c r="H1290" s="3"/>
      <c r="I1290" s="3"/>
    </row>
    <row r="1291" spans="1:9" x14ac:dyDescent="0.3">
      <c r="A1291" s="2"/>
      <c r="H1291" s="3"/>
      <c r="I1291" s="3"/>
    </row>
    <row r="1292" spans="1:9" x14ac:dyDescent="0.3">
      <c r="A1292" s="2"/>
      <c r="H1292" s="3"/>
      <c r="I1292" s="3"/>
    </row>
    <row r="1293" spans="1:9" x14ac:dyDescent="0.3">
      <c r="A1293" s="2"/>
      <c r="H1293" s="3"/>
      <c r="I1293" s="3"/>
    </row>
    <row r="1294" spans="1:9" x14ac:dyDescent="0.3">
      <c r="A1294" s="2"/>
      <c r="H1294" s="3"/>
      <c r="I1294" s="3"/>
    </row>
    <row r="1295" spans="1:9" x14ac:dyDescent="0.3">
      <c r="A1295" s="2"/>
      <c r="H1295" s="3"/>
      <c r="I1295" s="3"/>
    </row>
    <row r="1296" spans="1:9" x14ac:dyDescent="0.3">
      <c r="A1296" s="2"/>
      <c r="H1296" s="3"/>
      <c r="I1296" s="3"/>
    </row>
    <row r="1297" spans="1:9" x14ac:dyDescent="0.3">
      <c r="A1297" s="2"/>
      <c r="H1297" s="3"/>
      <c r="I1297" s="3"/>
    </row>
    <row r="1298" spans="1:9" x14ac:dyDescent="0.3">
      <c r="A1298" s="2"/>
      <c r="H1298" s="3"/>
      <c r="I1298" s="3"/>
    </row>
    <row r="1299" spans="1:9" x14ac:dyDescent="0.3">
      <c r="A1299" s="2"/>
      <c r="H1299" s="3"/>
      <c r="I1299" s="3"/>
    </row>
    <row r="1300" spans="1:9" x14ac:dyDescent="0.3">
      <c r="A1300" s="2"/>
      <c r="H1300" s="3"/>
      <c r="I1300" s="3"/>
    </row>
    <row r="1301" spans="1:9" x14ac:dyDescent="0.3">
      <c r="A1301" s="2"/>
      <c r="H1301" s="3"/>
      <c r="I1301" s="3"/>
    </row>
    <row r="1302" spans="1:9" x14ac:dyDescent="0.3">
      <c r="A1302" s="2"/>
      <c r="H1302" s="3"/>
      <c r="I1302" s="3"/>
    </row>
    <row r="1303" spans="1:9" x14ac:dyDescent="0.3">
      <c r="A1303" s="2"/>
      <c r="H1303" s="3"/>
      <c r="I1303" s="3"/>
    </row>
    <row r="1304" spans="1:9" x14ac:dyDescent="0.3">
      <c r="A1304" s="2"/>
      <c r="H1304" s="3"/>
      <c r="I1304" s="3"/>
    </row>
    <row r="1305" spans="1:9" x14ac:dyDescent="0.3">
      <c r="A1305" s="2"/>
      <c r="H1305" s="3"/>
      <c r="I1305" s="3"/>
    </row>
    <row r="1306" spans="1:9" x14ac:dyDescent="0.3">
      <c r="A1306" s="2"/>
      <c r="H1306" s="3"/>
      <c r="I1306" s="3"/>
    </row>
    <row r="1307" spans="1:9" x14ac:dyDescent="0.3">
      <c r="A1307" s="2"/>
      <c r="H1307" s="3"/>
      <c r="I1307" s="3"/>
    </row>
    <row r="1308" spans="1:9" x14ac:dyDescent="0.3">
      <c r="A1308" s="2"/>
      <c r="H1308" s="3"/>
      <c r="I1308" s="3"/>
    </row>
    <row r="1309" spans="1:9" x14ac:dyDescent="0.3">
      <c r="A1309" s="2"/>
      <c r="H1309" s="3"/>
      <c r="I1309" s="3"/>
    </row>
    <row r="1310" spans="1:9" x14ac:dyDescent="0.3">
      <c r="A1310" s="2"/>
      <c r="H1310" s="3"/>
      <c r="I1310" s="3"/>
    </row>
    <row r="1311" spans="1:9" x14ac:dyDescent="0.3">
      <c r="A1311" s="2"/>
      <c r="H1311" s="3"/>
      <c r="I1311" s="3"/>
    </row>
    <row r="1312" spans="1:9" x14ac:dyDescent="0.3">
      <c r="A1312" s="2"/>
      <c r="H1312" s="3"/>
      <c r="I1312" s="3"/>
    </row>
    <row r="1313" spans="1:9" x14ac:dyDescent="0.3">
      <c r="A1313" s="2"/>
      <c r="H1313" s="3"/>
      <c r="I1313" s="3"/>
    </row>
    <row r="1314" spans="1:9" x14ac:dyDescent="0.3">
      <c r="A1314" s="2"/>
      <c r="H1314" s="3"/>
      <c r="I1314" s="3"/>
    </row>
    <row r="1315" spans="1:9" x14ac:dyDescent="0.3">
      <c r="A1315" s="2"/>
      <c r="H1315" s="3"/>
      <c r="I1315" s="3"/>
    </row>
    <row r="1316" spans="1:9" x14ac:dyDescent="0.3">
      <c r="A1316" s="2"/>
      <c r="H1316" s="3"/>
      <c r="I1316" s="3"/>
    </row>
    <row r="1317" spans="1:9" x14ac:dyDescent="0.3">
      <c r="A1317" s="2"/>
      <c r="H1317" s="3"/>
      <c r="I1317" s="3"/>
    </row>
    <row r="1318" spans="1:9" x14ac:dyDescent="0.3">
      <c r="A1318" s="2"/>
      <c r="H1318" s="3"/>
      <c r="I1318" s="3"/>
    </row>
    <row r="1319" spans="1:9" x14ac:dyDescent="0.3">
      <c r="A1319" s="2"/>
      <c r="H1319" s="3"/>
      <c r="I1319" s="3"/>
    </row>
    <row r="1320" spans="1:9" x14ac:dyDescent="0.3">
      <c r="A1320" s="2"/>
      <c r="H1320" s="3"/>
      <c r="I1320" s="3"/>
    </row>
    <row r="1321" spans="1:9" x14ac:dyDescent="0.3">
      <c r="A1321" s="2"/>
      <c r="H1321" s="3"/>
      <c r="I1321" s="3"/>
    </row>
    <row r="1322" spans="1:9" x14ac:dyDescent="0.3">
      <c r="A1322" s="2"/>
      <c r="H1322" s="3"/>
      <c r="I1322" s="3"/>
    </row>
    <row r="1323" spans="1:9" x14ac:dyDescent="0.3">
      <c r="A1323" s="2"/>
      <c r="H1323" s="3"/>
      <c r="I1323" s="3"/>
    </row>
    <row r="1324" spans="1:9" x14ac:dyDescent="0.3">
      <c r="A1324" s="2"/>
      <c r="H1324" s="3"/>
      <c r="I1324" s="3"/>
    </row>
    <row r="1325" spans="1:9" x14ac:dyDescent="0.3">
      <c r="A1325" s="2"/>
      <c r="H1325" s="3"/>
      <c r="I1325" s="3"/>
    </row>
    <row r="1326" spans="1:9" x14ac:dyDescent="0.3">
      <c r="A1326" s="2"/>
      <c r="H1326" s="3"/>
      <c r="I1326" s="3"/>
    </row>
    <row r="1327" spans="1:9" x14ac:dyDescent="0.3">
      <c r="A1327" s="2"/>
      <c r="H1327" s="3"/>
      <c r="I1327" s="3"/>
    </row>
    <row r="1328" spans="1:9" x14ac:dyDescent="0.3">
      <c r="A1328" s="2"/>
      <c r="H1328" s="3"/>
      <c r="I1328" s="3"/>
    </row>
    <row r="1329" spans="1:9" x14ac:dyDescent="0.3">
      <c r="A1329" s="2"/>
      <c r="H1329" s="3"/>
      <c r="I1329" s="3"/>
    </row>
    <row r="1330" spans="1:9" x14ac:dyDescent="0.3">
      <c r="A1330" s="2"/>
      <c r="H1330" s="3"/>
      <c r="I1330" s="3"/>
    </row>
    <row r="1331" spans="1:9" x14ac:dyDescent="0.3">
      <c r="A1331" s="2"/>
      <c r="H1331" s="3"/>
      <c r="I1331" s="3"/>
    </row>
    <row r="1332" spans="1:9" x14ac:dyDescent="0.3">
      <c r="A1332" s="2"/>
      <c r="H1332" s="3"/>
      <c r="I1332" s="3"/>
    </row>
    <row r="1333" spans="1:9" x14ac:dyDescent="0.3">
      <c r="A1333" s="2"/>
      <c r="H1333" s="3"/>
      <c r="I1333" s="3"/>
    </row>
    <row r="1334" spans="1:9" x14ac:dyDescent="0.3">
      <c r="A1334" s="2"/>
      <c r="H1334" s="3"/>
      <c r="I1334" s="3"/>
    </row>
    <row r="1335" spans="1:9" x14ac:dyDescent="0.3">
      <c r="A1335" s="2"/>
      <c r="H1335" s="3"/>
      <c r="I1335" s="3"/>
    </row>
    <row r="1336" spans="1:9" x14ac:dyDescent="0.3">
      <c r="A1336" s="2"/>
      <c r="H1336" s="3"/>
      <c r="I1336" s="3"/>
    </row>
    <row r="1337" spans="1:9" x14ac:dyDescent="0.3">
      <c r="A1337" s="2"/>
      <c r="H1337" s="3"/>
      <c r="I1337" s="3"/>
    </row>
    <row r="1338" spans="1:9" x14ac:dyDescent="0.3">
      <c r="A1338" s="2"/>
      <c r="H1338" s="3"/>
      <c r="I1338" s="3"/>
    </row>
    <row r="1339" spans="1:9" x14ac:dyDescent="0.3">
      <c r="A1339" s="2"/>
      <c r="H1339" s="3"/>
      <c r="I1339" s="3"/>
    </row>
    <row r="1340" spans="1:9" x14ac:dyDescent="0.3">
      <c r="A1340" s="2"/>
      <c r="H1340" s="3"/>
      <c r="I1340" s="3"/>
    </row>
    <row r="1341" spans="1:9" x14ac:dyDescent="0.3">
      <c r="A1341" s="2"/>
      <c r="H1341" s="3"/>
      <c r="I1341" s="3"/>
    </row>
    <row r="1342" spans="1:9" x14ac:dyDescent="0.3">
      <c r="A1342" s="2"/>
      <c r="H1342" s="3"/>
      <c r="I1342" s="3"/>
    </row>
    <row r="1343" spans="1:9" x14ac:dyDescent="0.3">
      <c r="A1343" s="2"/>
      <c r="H1343" s="3"/>
      <c r="I1343" s="3"/>
    </row>
    <row r="1344" spans="1:9" x14ac:dyDescent="0.3">
      <c r="A1344" s="2"/>
      <c r="H1344" s="3"/>
      <c r="I1344" s="3"/>
    </row>
    <row r="1345" spans="1:9" x14ac:dyDescent="0.3">
      <c r="A1345" s="2"/>
      <c r="H1345" s="3"/>
      <c r="I1345" s="3"/>
    </row>
    <row r="1346" spans="1:9" x14ac:dyDescent="0.3">
      <c r="A1346" s="2"/>
      <c r="H1346" s="3"/>
      <c r="I1346" s="3"/>
    </row>
    <row r="1347" spans="1:9" x14ac:dyDescent="0.3">
      <c r="A1347" s="2"/>
      <c r="H1347" s="3"/>
      <c r="I1347" s="3"/>
    </row>
    <row r="1348" spans="1:9" x14ac:dyDescent="0.3">
      <c r="A1348" s="2"/>
      <c r="H1348" s="3"/>
      <c r="I1348" s="3"/>
    </row>
    <row r="1349" spans="1:9" x14ac:dyDescent="0.3">
      <c r="A1349" s="2"/>
      <c r="H1349" s="3"/>
      <c r="I1349" s="3"/>
    </row>
    <row r="1350" spans="1:9" x14ac:dyDescent="0.3">
      <c r="A1350" s="2"/>
      <c r="H1350" s="3"/>
      <c r="I1350" s="3"/>
    </row>
    <row r="1351" spans="1:9" x14ac:dyDescent="0.3">
      <c r="A1351" s="2"/>
      <c r="H1351" s="3"/>
      <c r="I1351" s="3"/>
    </row>
    <row r="1352" spans="1:9" x14ac:dyDescent="0.3">
      <c r="A1352" s="2"/>
      <c r="H1352" s="3"/>
      <c r="I1352" s="3"/>
    </row>
    <row r="1353" spans="1:9" x14ac:dyDescent="0.3">
      <c r="A1353" s="2"/>
      <c r="H1353" s="3"/>
      <c r="I1353" s="3"/>
    </row>
    <row r="1354" spans="1:9" x14ac:dyDescent="0.3">
      <c r="A1354" s="2"/>
      <c r="H1354" s="3"/>
      <c r="I1354" s="3"/>
    </row>
    <row r="1355" spans="1:9" x14ac:dyDescent="0.3">
      <c r="A1355" s="2"/>
      <c r="H1355" s="3"/>
      <c r="I1355" s="3"/>
    </row>
    <row r="1356" spans="1:9" x14ac:dyDescent="0.3">
      <c r="A1356" s="2"/>
      <c r="H1356" s="3"/>
      <c r="I1356" s="3"/>
    </row>
    <row r="1357" spans="1:9" x14ac:dyDescent="0.3">
      <c r="A1357" s="2"/>
      <c r="H1357" s="3"/>
      <c r="I1357" s="3"/>
    </row>
    <row r="1358" spans="1:9" x14ac:dyDescent="0.3">
      <c r="A1358" s="2"/>
      <c r="H1358" s="3"/>
      <c r="I1358" s="3"/>
    </row>
    <row r="1359" spans="1:9" x14ac:dyDescent="0.3">
      <c r="A1359" s="2"/>
      <c r="H1359" s="3"/>
      <c r="I1359" s="3"/>
    </row>
    <row r="1360" spans="1:9" x14ac:dyDescent="0.3">
      <c r="A1360" s="2"/>
      <c r="H1360" s="3"/>
      <c r="I1360" s="3"/>
    </row>
    <row r="1361" spans="1:9" x14ac:dyDescent="0.3">
      <c r="A1361" s="2"/>
      <c r="H1361" s="3"/>
      <c r="I1361" s="3"/>
    </row>
    <row r="1362" spans="1:9" x14ac:dyDescent="0.3">
      <c r="A1362" s="2"/>
      <c r="H1362" s="3"/>
      <c r="I1362" s="3"/>
    </row>
    <row r="1363" spans="1:9" x14ac:dyDescent="0.3">
      <c r="A1363" s="2"/>
      <c r="H1363" s="3"/>
      <c r="I1363" s="3"/>
    </row>
    <row r="1364" spans="1:9" x14ac:dyDescent="0.3">
      <c r="A1364" s="2"/>
      <c r="H1364" s="3"/>
      <c r="I1364" s="3"/>
    </row>
    <row r="1365" spans="1:9" x14ac:dyDescent="0.3">
      <c r="A1365" s="2"/>
      <c r="H1365" s="3"/>
      <c r="I1365" s="3"/>
    </row>
    <row r="1366" spans="1:9" x14ac:dyDescent="0.3">
      <c r="A1366" s="2"/>
      <c r="H1366" s="3"/>
      <c r="I1366" s="3"/>
    </row>
    <row r="1367" spans="1:9" x14ac:dyDescent="0.3">
      <c r="A1367" s="2"/>
      <c r="H1367" s="3"/>
      <c r="I1367" s="3"/>
    </row>
    <row r="1368" spans="1:9" x14ac:dyDescent="0.3">
      <c r="A1368" s="2"/>
      <c r="H1368" s="3"/>
      <c r="I1368" s="3"/>
    </row>
    <row r="1369" spans="1:9" x14ac:dyDescent="0.3">
      <c r="A1369" s="2"/>
      <c r="H1369" s="3"/>
      <c r="I1369" s="3"/>
    </row>
    <row r="1370" spans="1:9" x14ac:dyDescent="0.3">
      <c r="A1370" s="2"/>
      <c r="H1370" s="3"/>
      <c r="I1370" s="3"/>
    </row>
    <row r="1371" spans="1:9" x14ac:dyDescent="0.3">
      <c r="A1371" s="2"/>
      <c r="H1371" s="3"/>
      <c r="I1371" s="3"/>
    </row>
    <row r="1372" spans="1:9" x14ac:dyDescent="0.3">
      <c r="A1372" s="2"/>
      <c r="H1372" s="3"/>
      <c r="I1372" s="3"/>
    </row>
    <row r="1373" spans="1:9" x14ac:dyDescent="0.3">
      <c r="A1373" s="2"/>
      <c r="H1373" s="3"/>
      <c r="I1373" s="3"/>
    </row>
    <row r="1374" spans="1:9" x14ac:dyDescent="0.3">
      <c r="A1374" s="2"/>
      <c r="H1374" s="3"/>
      <c r="I1374" s="3"/>
    </row>
    <row r="1375" spans="1:9" x14ac:dyDescent="0.3">
      <c r="A1375" s="2"/>
      <c r="H1375" s="3"/>
      <c r="I1375" s="3"/>
    </row>
    <row r="1376" spans="1:9" x14ac:dyDescent="0.3">
      <c r="A1376" s="2"/>
      <c r="H1376" s="3"/>
      <c r="I1376" s="3"/>
    </row>
    <row r="1377" spans="1:9" x14ac:dyDescent="0.3">
      <c r="A1377" s="2"/>
      <c r="H1377" s="3"/>
      <c r="I1377" s="3"/>
    </row>
    <row r="1378" spans="1:9" x14ac:dyDescent="0.3">
      <c r="A1378" s="2"/>
      <c r="H1378" s="3"/>
      <c r="I1378" s="3"/>
    </row>
    <row r="1379" spans="1:9" x14ac:dyDescent="0.3">
      <c r="A1379" s="2"/>
      <c r="H1379" s="3"/>
      <c r="I1379" s="3"/>
    </row>
    <row r="1380" spans="1:9" x14ac:dyDescent="0.3">
      <c r="A1380" s="2"/>
      <c r="H1380" s="3"/>
      <c r="I1380" s="3"/>
    </row>
    <row r="1381" spans="1:9" x14ac:dyDescent="0.3">
      <c r="A1381" s="2"/>
      <c r="H1381" s="3"/>
      <c r="I1381" s="3"/>
    </row>
    <row r="1382" spans="1:9" x14ac:dyDescent="0.3">
      <c r="A1382" s="2"/>
      <c r="H1382" s="3"/>
      <c r="I1382" s="3"/>
    </row>
    <row r="1383" spans="1:9" x14ac:dyDescent="0.3">
      <c r="A1383" s="2"/>
      <c r="H1383" s="3"/>
      <c r="I1383" s="3"/>
    </row>
    <row r="1384" spans="1:9" x14ac:dyDescent="0.3">
      <c r="A1384" s="2"/>
      <c r="H1384" s="3"/>
      <c r="I1384" s="3"/>
    </row>
    <row r="1385" spans="1:9" x14ac:dyDescent="0.3">
      <c r="A1385" s="2"/>
      <c r="H1385" s="3"/>
      <c r="I1385" s="3"/>
    </row>
    <row r="1386" spans="1:9" x14ac:dyDescent="0.3">
      <c r="A1386" s="2"/>
      <c r="H1386" s="3"/>
      <c r="I1386" s="3"/>
    </row>
    <row r="1387" spans="1:9" x14ac:dyDescent="0.3">
      <c r="A1387" s="2"/>
      <c r="H1387" s="3"/>
      <c r="I1387" s="3"/>
    </row>
    <row r="1388" spans="1:9" x14ac:dyDescent="0.3">
      <c r="A1388" s="2"/>
      <c r="H1388" s="3"/>
      <c r="I1388" s="3"/>
    </row>
    <row r="1389" spans="1:9" x14ac:dyDescent="0.3">
      <c r="A1389" s="2"/>
      <c r="H1389" s="3"/>
      <c r="I1389" s="3"/>
    </row>
    <row r="1390" spans="1:9" x14ac:dyDescent="0.3">
      <c r="A1390" s="2"/>
      <c r="H1390" s="3"/>
      <c r="I1390" s="3"/>
    </row>
    <row r="1391" spans="1:9" x14ac:dyDescent="0.3">
      <c r="A1391" s="2"/>
      <c r="H1391" s="3"/>
      <c r="I1391" s="3"/>
    </row>
    <row r="1392" spans="1:9" x14ac:dyDescent="0.3">
      <c r="A1392" s="2"/>
      <c r="H1392" s="3"/>
      <c r="I1392" s="3"/>
    </row>
    <row r="1393" spans="1:9" x14ac:dyDescent="0.3">
      <c r="A1393" s="2"/>
      <c r="H1393" s="3"/>
      <c r="I1393" s="3"/>
    </row>
    <row r="1394" spans="1:9" x14ac:dyDescent="0.3">
      <c r="A1394" s="2"/>
      <c r="H1394" s="3"/>
      <c r="I1394" s="3"/>
    </row>
    <row r="1395" spans="1:9" x14ac:dyDescent="0.3">
      <c r="A1395" s="2"/>
      <c r="H1395" s="3"/>
      <c r="I1395" s="3"/>
    </row>
    <row r="1396" spans="1:9" x14ac:dyDescent="0.3">
      <c r="A1396" s="2"/>
      <c r="H1396" s="3"/>
      <c r="I1396" s="3"/>
    </row>
    <row r="1397" spans="1:9" x14ac:dyDescent="0.3">
      <c r="A1397" s="2"/>
      <c r="H1397" s="3"/>
      <c r="I1397" s="3"/>
    </row>
    <row r="1398" spans="1:9" x14ac:dyDescent="0.3">
      <c r="A1398" s="2"/>
      <c r="H1398" s="3"/>
      <c r="I1398" s="3"/>
    </row>
    <row r="1399" spans="1:9" x14ac:dyDescent="0.3">
      <c r="A1399" s="2"/>
      <c r="H1399" s="3"/>
      <c r="I1399" s="3"/>
    </row>
    <row r="1400" spans="1:9" x14ac:dyDescent="0.3">
      <c r="A1400" s="2"/>
      <c r="H1400" s="3"/>
      <c r="I1400" s="3"/>
    </row>
    <row r="1401" spans="1:9" x14ac:dyDescent="0.3">
      <c r="A1401" s="2"/>
      <c r="H1401" s="3"/>
      <c r="I1401" s="3"/>
    </row>
    <row r="1402" spans="1:9" x14ac:dyDescent="0.3">
      <c r="A1402" s="2"/>
      <c r="H1402" s="3"/>
      <c r="I1402" s="3"/>
    </row>
    <row r="1403" spans="1:9" x14ac:dyDescent="0.3">
      <c r="A1403" s="2"/>
      <c r="H1403" s="3"/>
      <c r="I1403" s="3"/>
    </row>
    <row r="1404" spans="1:9" x14ac:dyDescent="0.3">
      <c r="A1404" s="2"/>
      <c r="H1404" s="3"/>
      <c r="I1404" s="3"/>
    </row>
    <row r="1405" spans="1:9" x14ac:dyDescent="0.3">
      <c r="A1405" s="2"/>
      <c r="H1405" s="3"/>
      <c r="I1405" s="3"/>
    </row>
    <row r="1406" spans="1:9" x14ac:dyDescent="0.3">
      <c r="A1406" s="2"/>
      <c r="H1406" s="3"/>
      <c r="I1406" s="3"/>
    </row>
    <row r="1407" spans="1:9" x14ac:dyDescent="0.3">
      <c r="A1407" s="2"/>
      <c r="H1407" s="3"/>
      <c r="I1407" s="3"/>
    </row>
    <row r="1408" spans="1:9" x14ac:dyDescent="0.3">
      <c r="A1408" s="2"/>
      <c r="H1408" s="3"/>
      <c r="I1408" s="3"/>
    </row>
    <row r="1409" spans="1:9" x14ac:dyDescent="0.3">
      <c r="A1409" s="2"/>
      <c r="H1409" s="3"/>
      <c r="I1409" s="3"/>
    </row>
    <row r="1410" spans="1:9" x14ac:dyDescent="0.3">
      <c r="A1410" s="2"/>
      <c r="H1410" s="3"/>
      <c r="I1410" s="3"/>
    </row>
    <row r="1411" spans="1:9" x14ac:dyDescent="0.3">
      <c r="A1411" s="2"/>
      <c r="H1411" s="3"/>
      <c r="I1411" s="3"/>
    </row>
    <row r="1412" spans="1:9" x14ac:dyDescent="0.3">
      <c r="A1412" s="2"/>
      <c r="H1412" s="3"/>
      <c r="I1412" s="3"/>
    </row>
    <row r="1413" spans="1:9" x14ac:dyDescent="0.3">
      <c r="A1413" s="2"/>
      <c r="H1413" s="3"/>
      <c r="I1413" s="3"/>
    </row>
    <row r="1414" spans="1:9" x14ac:dyDescent="0.3">
      <c r="A1414" s="2"/>
      <c r="H1414" s="3"/>
      <c r="I1414" s="3"/>
    </row>
    <row r="1415" spans="1:9" x14ac:dyDescent="0.3">
      <c r="A1415" s="2"/>
      <c r="H1415" s="3"/>
      <c r="I1415" s="3"/>
    </row>
    <row r="1416" spans="1:9" x14ac:dyDescent="0.3">
      <c r="A1416" s="2"/>
      <c r="H1416" s="3"/>
      <c r="I1416" s="3"/>
    </row>
    <row r="1417" spans="1:9" x14ac:dyDescent="0.3">
      <c r="A1417" s="2"/>
      <c r="H1417" s="3"/>
      <c r="I1417" s="3"/>
    </row>
    <row r="1418" spans="1:9" x14ac:dyDescent="0.3">
      <c r="A1418" s="2"/>
      <c r="H1418" s="3"/>
      <c r="I1418" s="3"/>
    </row>
    <row r="1419" spans="1:9" x14ac:dyDescent="0.3">
      <c r="A1419" s="2"/>
      <c r="H1419" s="3"/>
      <c r="I1419" s="3"/>
    </row>
    <row r="1420" spans="1:9" x14ac:dyDescent="0.3">
      <c r="A1420" s="2"/>
      <c r="H1420" s="3"/>
      <c r="I1420" s="3"/>
    </row>
    <row r="1421" spans="1:9" x14ac:dyDescent="0.3">
      <c r="A1421" s="2"/>
      <c r="H1421" s="3"/>
      <c r="I1421" s="3"/>
    </row>
    <row r="1422" spans="1:9" x14ac:dyDescent="0.3">
      <c r="A1422" s="2"/>
      <c r="H1422" s="3"/>
      <c r="I1422" s="3"/>
    </row>
    <row r="1423" spans="1:9" x14ac:dyDescent="0.3">
      <c r="A1423" s="2"/>
      <c r="H1423" s="3"/>
      <c r="I1423" s="3"/>
    </row>
    <row r="1424" spans="1:9" x14ac:dyDescent="0.3">
      <c r="A1424" s="2"/>
      <c r="H1424" s="3"/>
      <c r="I1424" s="3"/>
    </row>
    <row r="1425" spans="1:9" x14ac:dyDescent="0.3">
      <c r="A1425" s="2"/>
      <c r="H1425" s="3"/>
      <c r="I1425" s="3"/>
    </row>
    <row r="1426" spans="1:9" x14ac:dyDescent="0.3">
      <c r="A1426" s="2"/>
      <c r="H1426" s="3"/>
      <c r="I1426" s="3"/>
    </row>
    <row r="1427" spans="1:9" x14ac:dyDescent="0.3">
      <c r="A1427" s="2"/>
      <c r="H1427" s="3"/>
      <c r="I1427" s="3"/>
    </row>
    <row r="1428" spans="1:9" x14ac:dyDescent="0.3">
      <c r="A1428" s="2"/>
      <c r="H1428" s="3"/>
      <c r="I1428" s="3"/>
    </row>
    <row r="1429" spans="1:9" x14ac:dyDescent="0.3">
      <c r="A1429" s="2"/>
      <c r="H1429" s="3"/>
      <c r="I1429" s="3"/>
    </row>
    <row r="1430" spans="1:9" x14ac:dyDescent="0.3">
      <c r="A1430" s="2"/>
      <c r="H1430" s="3"/>
      <c r="I1430" s="3"/>
    </row>
    <row r="1431" spans="1:9" x14ac:dyDescent="0.3">
      <c r="A1431" s="2"/>
      <c r="H1431" s="3"/>
      <c r="I1431" s="3"/>
    </row>
    <row r="1432" spans="1:9" x14ac:dyDescent="0.3">
      <c r="A1432" s="2"/>
      <c r="H1432" s="3"/>
      <c r="I1432" s="3"/>
    </row>
    <row r="1433" spans="1:9" x14ac:dyDescent="0.3">
      <c r="A1433" s="2"/>
      <c r="H1433" s="3"/>
      <c r="I1433" s="3"/>
    </row>
    <row r="1434" spans="1:9" x14ac:dyDescent="0.3">
      <c r="A1434" s="2"/>
      <c r="H1434" s="3"/>
      <c r="I1434" s="3"/>
    </row>
    <row r="1435" spans="1:9" x14ac:dyDescent="0.3">
      <c r="A1435" s="2"/>
      <c r="H1435" s="3"/>
      <c r="I1435" s="3"/>
    </row>
    <row r="1436" spans="1:9" x14ac:dyDescent="0.3">
      <c r="A1436" s="2"/>
      <c r="H1436" s="3"/>
      <c r="I1436" s="3"/>
    </row>
    <row r="1437" spans="1:9" x14ac:dyDescent="0.3">
      <c r="A1437" s="2"/>
      <c r="H1437" s="3"/>
      <c r="I1437" s="3"/>
    </row>
    <row r="1438" spans="1:9" x14ac:dyDescent="0.3">
      <c r="A1438" s="2"/>
      <c r="H1438" s="3"/>
      <c r="I1438" s="3"/>
    </row>
    <row r="1439" spans="1:9" x14ac:dyDescent="0.3">
      <c r="A1439" s="2"/>
      <c r="H1439" s="3"/>
      <c r="I1439" s="3"/>
    </row>
    <row r="1440" spans="1:9" x14ac:dyDescent="0.3">
      <c r="A1440" s="2"/>
      <c r="H1440" s="3"/>
      <c r="I1440" s="3"/>
    </row>
    <row r="1441" spans="1:9" x14ac:dyDescent="0.3">
      <c r="A1441" s="2"/>
      <c r="H1441" s="3"/>
      <c r="I1441" s="3"/>
    </row>
    <row r="1442" spans="1:9" x14ac:dyDescent="0.3">
      <c r="A1442" s="2"/>
      <c r="H1442" s="3"/>
      <c r="I1442" s="3"/>
    </row>
    <row r="1443" spans="1:9" x14ac:dyDescent="0.3">
      <c r="A1443" s="2"/>
      <c r="H1443" s="3"/>
      <c r="I1443" s="3"/>
    </row>
    <row r="1444" spans="1:9" x14ac:dyDescent="0.3">
      <c r="A1444" s="2"/>
      <c r="H1444" s="3"/>
      <c r="I1444" s="3"/>
    </row>
    <row r="1445" spans="1:9" x14ac:dyDescent="0.3">
      <c r="A1445" s="2"/>
      <c r="H1445" s="3"/>
      <c r="I1445" s="3"/>
    </row>
    <row r="1446" spans="1:9" x14ac:dyDescent="0.3">
      <c r="A1446" s="2"/>
      <c r="H1446" s="3"/>
      <c r="I1446" s="3"/>
    </row>
    <row r="1447" spans="1:9" x14ac:dyDescent="0.3">
      <c r="A1447" s="2"/>
      <c r="H1447" s="3"/>
      <c r="I1447" s="3"/>
    </row>
    <row r="1448" spans="1:9" x14ac:dyDescent="0.3">
      <c r="A1448" s="2"/>
      <c r="H1448" s="3"/>
      <c r="I1448" s="3"/>
    </row>
    <row r="1449" spans="1:9" x14ac:dyDescent="0.3">
      <c r="A1449" s="2"/>
      <c r="H1449" s="3"/>
      <c r="I1449" s="3"/>
    </row>
    <row r="1450" spans="1:9" x14ac:dyDescent="0.3">
      <c r="A1450" s="2"/>
      <c r="H1450" s="3"/>
      <c r="I1450" s="3"/>
    </row>
    <row r="1451" spans="1:9" x14ac:dyDescent="0.3">
      <c r="A1451" s="2"/>
      <c r="H1451" s="3"/>
      <c r="I1451" s="3"/>
    </row>
    <row r="1452" spans="1:9" x14ac:dyDescent="0.3">
      <c r="A1452" s="2"/>
      <c r="H1452" s="3"/>
      <c r="I1452" s="3"/>
    </row>
    <row r="1453" spans="1:9" x14ac:dyDescent="0.3">
      <c r="A1453" s="2"/>
      <c r="H1453" s="3"/>
      <c r="I1453" s="3"/>
    </row>
    <row r="1454" spans="1:9" x14ac:dyDescent="0.3">
      <c r="A1454" s="2"/>
      <c r="H1454" s="3"/>
      <c r="I1454" s="3"/>
    </row>
    <row r="1455" spans="1:9" x14ac:dyDescent="0.3">
      <c r="A1455" s="2"/>
      <c r="H1455" s="3"/>
      <c r="I1455" s="3"/>
    </row>
    <row r="1456" spans="1:9" x14ac:dyDescent="0.3">
      <c r="A1456" s="2"/>
      <c r="H1456" s="3"/>
      <c r="I1456" s="3"/>
    </row>
    <row r="1457" spans="1:9" x14ac:dyDescent="0.3">
      <c r="A1457" s="2"/>
      <c r="H1457" s="3"/>
      <c r="I1457" s="3"/>
    </row>
    <row r="1458" spans="1:9" x14ac:dyDescent="0.3">
      <c r="A1458" s="2"/>
      <c r="H1458" s="3"/>
      <c r="I1458" s="3"/>
    </row>
    <row r="1459" spans="1:9" x14ac:dyDescent="0.3">
      <c r="A1459" s="2"/>
      <c r="H1459" s="3"/>
      <c r="I1459" s="3"/>
    </row>
    <row r="1460" spans="1:9" x14ac:dyDescent="0.3">
      <c r="A1460" s="2"/>
      <c r="H1460" s="3"/>
      <c r="I1460" s="3"/>
    </row>
    <row r="1461" spans="1:9" x14ac:dyDescent="0.3">
      <c r="A1461" s="2"/>
      <c r="H1461" s="3"/>
      <c r="I1461" s="3"/>
    </row>
    <row r="1462" spans="1:9" x14ac:dyDescent="0.3">
      <c r="A1462" s="2"/>
      <c r="H1462" s="3"/>
      <c r="I1462" s="3"/>
    </row>
    <row r="1463" spans="1:9" x14ac:dyDescent="0.3">
      <c r="A1463" s="2"/>
      <c r="H1463" s="3"/>
      <c r="I1463" s="3"/>
    </row>
    <row r="1464" spans="1:9" x14ac:dyDescent="0.3">
      <c r="A1464" s="2"/>
      <c r="H1464" s="3"/>
      <c r="I1464" s="3"/>
    </row>
    <row r="1465" spans="1:9" x14ac:dyDescent="0.3">
      <c r="A1465" s="2"/>
      <c r="H1465" s="3"/>
      <c r="I1465" s="3"/>
    </row>
    <row r="1466" spans="1:9" x14ac:dyDescent="0.3">
      <c r="A1466" s="2"/>
      <c r="H1466" s="3"/>
      <c r="I1466" s="3"/>
    </row>
    <row r="1467" spans="1:9" x14ac:dyDescent="0.3">
      <c r="A1467" s="2"/>
      <c r="H1467" s="3"/>
      <c r="I1467" s="3"/>
    </row>
    <row r="1468" spans="1:9" x14ac:dyDescent="0.3">
      <c r="A1468" s="2"/>
      <c r="H1468" s="3"/>
      <c r="I1468" s="3"/>
    </row>
    <row r="1469" spans="1:9" x14ac:dyDescent="0.3">
      <c r="A1469" s="2"/>
      <c r="H1469" s="3"/>
      <c r="I1469" s="3"/>
    </row>
    <row r="1470" spans="1:9" x14ac:dyDescent="0.3">
      <c r="A1470" s="2"/>
      <c r="H1470" s="3"/>
      <c r="I1470" s="3"/>
    </row>
    <row r="1471" spans="1:9" x14ac:dyDescent="0.3">
      <c r="A1471" s="2"/>
      <c r="H1471" s="3"/>
      <c r="I1471" s="3"/>
    </row>
    <row r="1472" spans="1:9" x14ac:dyDescent="0.3">
      <c r="A1472" s="2"/>
      <c r="H1472" s="3"/>
      <c r="I1472" s="3"/>
    </row>
    <row r="1473" spans="1:9" x14ac:dyDescent="0.3">
      <c r="A1473" s="2"/>
      <c r="H1473" s="3"/>
      <c r="I1473" s="3"/>
    </row>
    <row r="1474" spans="1:9" x14ac:dyDescent="0.3">
      <c r="A1474" s="2"/>
      <c r="H1474" s="3"/>
      <c r="I1474" s="3"/>
    </row>
    <row r="1475" spans="1:9" x14ac:dyDescent="0.3">
      <c r="A1475" s="2"/>
      <c r="H1475" s="3"/>
      <c r="I1475" s="3"/>
    </row>
    <row r="1476" spans="1:9" x14ac:dyDescent="0.3">
      <c r="A1476" s="2"/>
      <c r="H1476" s="3"/>
      <c r="I1476" s="3"/>
    </row>
    <row r="1477" spans="1:9" x14ac:dyDescent="0.3">
      <c r="A1477" s="2"/>
      <c r="H1477" s="3"/>
      <c r="I1477" s="3"/>
    </row>
    <row r="1478" spans="1:9" x14ac:dyDescent="0.3">
      <c r="A1478" s="2"/>
      <c r="H1478" s="3"/>
      <c r="I1478" s="3"/>
    </row>
    <row r="1479" spans="1:9" x14ac:dyDescent="0.3">
      <c r="A1479" s="2"/>
      <c r="H1479" s="3"/>
      <c r="I1479" s="3"/>
    </row>
    <row r="1480" spans="1:9" x14ac:dyDescent="0.3">
      <c r="A1480" s="2"/>
      <c r="H1480" s="3"/>
      <c r="I1480" s="3"/>
    </row>
    <row r="1481" spans="1:9" x14ac:dyDescent="0.3">
      <c r="A1481" s="2"/>
      <c r="H1481" s="3"/>
      <c r="I1481" s="3"/>
    </row>
    <row r="1482" spans="1:9" x14ac:dyDescent="0.3">
      <c r="A1482" s="2"/>
      <c r="H1482" s="3"/>
      <c r="I1482" s="3"/>
    </row>
    <row r="1483" spans="1:9" x14ac:dyDescent="0.3">
      <c r="A1483" s="2"/>
      <c r="H1483" s="3"/>
      <c r="I1483" s="3"/>
    </row>
    <row r="1484" spans="1:9" x14ac:dyDescent="0.3">
      <c r="A1484" s="2"/>
      <c r="H1484" s="3"/>
      <c r="I1484" s="3"/>
    </row>
    <row r="1485" spans="1:9" x14ac:dyDescent="0.3">
      <c r="A1485" s="2"/>
      <c r="H1485" s="3"/>
      <c r="I1485" s="3"/>
    </row>
    <row r="1486" spans="1:9" x14ac:dyDescent="0.3">
      <c r="A1486" s="2"/>
      <c r="H1486" s="3"/>
      <c r="I1486" s="3"/>
    </row>
    <row r="1487" spans="1:9" x14ac:dyDescent="0.3">
      <c r="A1487" s="2"/>
      <c r="H1487" s="3"/>
      <c r="I1487" s="3"/>
    </row>
    <row r="1488" spans="1:9" x14ac:dyDescent="0.3">
      <c r="A1488" s="2"/>
      <c r="H1488" s="3"/>
      <c r="I1488" s="3"/>
    </row>
    <row r="1489" spans="1:9" x14ac:dyDescent="0.3">
      <c r="A1489" s="2"/>
      <c r="H1489" s="3"/>
      <c r="I1489" s="3"/>
    </row>
    <row r="1490" spans="1:9" x14ac:dyDescent="0.3">
      <c r="A1490" s="2"/>
      <c r="H1490" s="3"/>
      <c r="I1490" s="3"/>
    </row>
    <row r="1491" spans="1:9" x14ac:dyDescent="0.3">
      <c r="A1491" s="2"/>
      <c r="H1491" s="3"/>
      <c r="I1491" s="3"/>
    </row>
    <row r="1492" spans="1:9" x14ac:dyDescent="0.3">
      <c r="A1492" s="2"/>
      <c r="H1492" s="3"/>
      <c r="I1492" s="3"/>
    </row>
    <row r="1493" spans="1:9" x14ac:dyDescent="0.3">
      <c r="A1493" s="2"/>
      <c r="H1493" s="3"/>
      <c r="I1493" s="3"/>
    </row>
    <row r="1494" spans="1:9" x14ac:dyDescent="0.3">
      <c r="A1494" s="2"/>
      <c r="H1494" s="3"/>
      <c r="I1494" s="3"/>
    </row>
    <row r="1495" spans="1:9" x14ac:dyDescent="0.3">
      <c r="A1495" s="2"/>
      <c r="H1495" s="3"/>
      <c r="I1495" s="3"/>
    </row>
    <row r="1496" spans="1:9" x14ac:dyDescent="0.3">
      <c r="A1496" s="2"/>
      <c r="H1496" s="3"/>
      <c r="I1496" s="3"/>
    </row>
    <row r="1497" spans="1:9" x14ac:dyDescent="0.3">
      <c r="A1497" s="2"/>
      <c r="H1497" s="3"/>
      <c r="I1497" s="3"/>
    </row>
    <row r="1498" spans="1:9" x14ac:dyDescent="0.3">
      <c r="A1498" s="2"/>
      <c r="H1498" s="3"/>
      <c r="I1498" s="3"/>
    </row>
    <row r="1499" spans="1:9" x14ac:dyDescent="0.3">
      <c r="A1499" s="2"/>
      <c r="H1499" s="3"/>
      <c r="I1499" s="3"/>
    </row>
    <row r="1500" spans="1:9" x14ac:dyDescent="0.3">
      <c r="A1500" s="2"/>
      <c r="H1500" s="3"/>
      <c r="I1500" s="3"/>
    </row>
    <row r="1501" spans="1:9" x14ac:dyDescent="0.3">
      <c r="A1501" s="2"/>
      <c r="H1501" s="3"/>
      <c r="I1501" s="3"/>
    </row>
    <row r="1502" spans="1:9" x14ac:dyDescent="0.3">
      <c r="A1502" s="2"/>
      <c r="H1502" s="3"/>
      <c r="I1502" s="3"/>
    </row>
    <row r="1503" spans="1:9" x14ac:dyDescent="0.3">
      <c r="A1503" s="2"/>
      <c r="H1503" s="3"/>
      <c r="I1503" s="3"/>
    </row>
    <row r="1504" spans="1:9" x14ac:dyDescent="0.3">
      <c r="A1504" s="2"/>
      <c r="H1504" s="3"/>
      <c r="I1504" s="3"/>
    </row>
    <row r="1505" spans="1:9" x14ac:dyDescent="0.3">
      <c r="A1505" s="2"/>
      <c r="H1505" s="3"/>
      <c r="I1505" s="3"/>
    </row>
    <row r="1506" spans="1:9" x14ac:dyDescent="0.3">
      <c r="A1506" s="2"/>
      <c r="H1506" s="3"/>
      <c r="I1506" s="3"/>
    </row>
    <row r="1507" spans="1:9" x14ac:dyDescent="0.3">
      <c r="A1507" s="2"/>
      <c r="H1507" s="3"/>
      <c r="I1507" s="3"/>
    </row>
    <row r="1508" spans="1:9" x14ac:dyDescent="0.3">
      <c r="A1508" s="2"/>
      <c r="H1508" s="3"/>
      <c r="I1508" s="3"/>
    </row>
    <row r="1509" spans="1:9" x14ac:dyDescent="0.3">
      <c r="A1509" s="2"/>
      <c r="H1509" s="3"/>
      <c r="I1509" s="3"/>
    </row>
    <row r="1510" spans="1:9" x14ac:dyDescent="0.3">
      <c r="A1510" s="2"/>
      <c r="H1510" s="3"/>
      <c r="I1510" s="3"/>
    </row>
    <row r="1511" spans="1:9" x14ac:dyDescent="0.3">
      <c r="A1511" s="2"/>
      <c r="H1511" s="3"/>
      <c r="I1511" s="3"/>
    </row>
    <row r="1512" spans="1:9" x14ac:dyDescent="0.3">
      <c r="A1512" s="2"/>
      <c r="H1512" s="3"/>
      <c r="I1512" s="3"/>
    </row>
    <row r="1513" spans="1:9" x14ac:dyDescent="0.3">
      <c r="A1513" s="2"/>
      <c r="H1513" s="3"/>
      <c r="I1513" s="3"/>
    </row>
    <row r="1514" spans="1:9" x14ac:dyDescent="0.3">
      <c r="A1514" s="2"/>
      <c r="H1514" s="3"/>
      <c r="I1514" s="3"/>
    </row>
    <row r="1515" spans="1:9" x14ac:dyDescent="0.3">
      <c r="A1515" s="2"/>
      <c r="H1515" s="3"/>
      <c r="I1515" s="3"/>
    </row>
    <row r="1516" spans="1:9" x14ac:dyDescent="0.3">
      <c r="A1516" s="2"/>
      <c r="H1516" s="3"/>
      <c r="I1516" s="3"/>
    </row>
    <row r="1517" spans="1:9" x14ac:dyDescent="0.3">
      <c r="A1517" s="2"/>
      <c r="H1517" s="3"/>
      <c r="I1517" s="3"/>
    </row>
    <row r="1518" spans="1:9" x14ac:dyDescent="0.3">
      <c r="A1518" s="2"/>
      <c r="H1518" s="3"/>
      <c r="I1518" s="3"/>
    </row>
    <row r="1519" spans="1:9" x14ac:dyDescent="0.3">
      <c r="A1519" s="2"/>
      <c r="H1519" s="3"/>
      <c r="I1519" s="3"/>
    </row>
    <row r="1520" spans="1:9" x14ac:dyDescent="0.3">
      <c r="A1520" s="2"/>
      <c r="H1520" s="3"/>
      <c r="I1520" s="3"/>
    </row>
    <row r="1521" spans="1:9" x14ac:dyDescent="0.3">
      <c r="A1521" s="2"/>
      <c r="H1521" s="3"/>
      <c r="I1521" s="3"/>
    </row>
    <row r="1522" spans="1:9" x14ac:dyDescent="0.3">
      <c r="A1522" s="2"/>
      <c r="H1522" s="3"/>
      <c r="I1522" s="3"/>
    </row>
    <row r="1523" spans="1:9" x14ac:dyDescent="0.3">
      <c r="A1523" s="2"/>
      <c r="H1523" s="3"/>
      <c r="I1523" s="3"/>
    </row>
    <row r="1524" spans="1:9" x14ac:dyDescent="0.3">
      <c r="A1524" s="2"/>
      <c r="H1524" s="3"/>
      <c r="I1524" s="3"/>
    </row>
    <row r="1525" spans="1:9" x14ac:dyDescent="0.3">
      <c r="A1525" s="2"/>
      <c r="H1525" s="3"/>
      <c r="I1525" s="3"/>
    </row>
    <row r="1526" spans="1:9" x14ac:dyDescent="0.3">
      <c r="A1526" s="2"/>
      <c r="H1526" s="3"/>
      <c r="I1526" s="3"/>
    </row>
    <row r="1527" spans="1:9" x14ac:dyDescent="0.3">
      <c r="A1527" s="2"/>
      <c r="H1527" s="3"/>
      <c r="I1527" s="3"/>
    </row>
    <row r="1528" spans="1:9" x14ac:dyDescent="0.3">
      <c r="A1528" s="2"/>
      <c r="H1528" s="3"/>
      <c r="I1528" s="3"/>
    </row>
    <row r="1529" spans="1:9" x14ac:dyDescent="0.3">
      <c r="A1529" s="2"/>
      <c r="H1529" s="3"/>
      <c r="I1529" s="3"/>
    </row>
    <row r="1530" spans="1:9" x14ac:dyDescent="0.3">
      <c r="A1530" s="2"/>
      <c r="H1530" s="3"/>
      <c r="I1530" s="3"/>
    </row>
    <row r="1531" spans="1:9" x14ac:dyDescent="0.3">
      <c r="A1531" s="2"/>
      <c r="H1531" s="3"/>
      <c r="I1531" s="3"/>
    </row>
    <row r="1532" spans="1:9" x14ac:dyDescent="0.3">
      <c r="A1532" s="2"/>
      <c r="H1532" s="3"/>
      <c r="I1532" s="3"/>
    </row>
    <row r="1533" spans="1:9" x14ac:dyDescent="0.3">
      <c r="A1533" s="2"/>
      <c r="H1533" s="3"/>
      <c r="I1533" s="3"/>
    </row>
    <row r="1534" spans="1:9" x14ac:dyDescent="0.3">
      <c r="A1534" s="2"/>
      <c r="H1534" s="3"/>
      <c r="I1534" s="3"/>
    </row>
    <row r="1535" spans="1:9" x14ac:dyDescent="0.3">
      <c r="A1535" s="2"/>
      <c r="H1535" s="3"/>
      <c r="I1535" s="3"/>
    </row>
    <row r="1536" spans="1:9" x14ac:dyDescent="0.3">
      <c r="A1536" s="2"/>
      <c r="H1536" s="3"/>
      <c r="I1536" s="3"/>
    </row>
    <row r="1537" spans="1:9" x14ac:dyDescent="0.3">
      <c r="A1537" s="2"/>
      <c r="H1537" s="3"/>
      <c r="I1537" s="3"/>
    </row>
    <row r="1538" spans="1:9" x14ac:dyDescent="0.3">
      <c r="A1538" s="2"/>
      <c r="H1538" s="3"/>
      <c r="I1538" s="3"/>
    </row>
    <row r="1539" spans="1:9" x14ac:dyDescent="0.3">
      <c r="A1539" s="2"/>
      <c r="H1539" s="3"/>
      <c r="I1539" s="3"/>
    </row>
    <row r="1540" spans="1:9" x14ac:dyDescent="0.3">
      <c r="A1540" s="2"/>
      <c r="H1540" s="3"/>
      <c r="I1540" s="3"/>
    </row>
    <row r="1541" spans="1:9" x14ac:dyDescent="0.3">
      <c r="A1541" s="2"/>
      <c r="H1541" s="3"/>
      <c r="I1541" s="3"/>
    </row>
    <row r="1542" spans="1:9" x14ac:dyDescent="0.3">
      <c r="A1542" s="2"/>
      <c r="H1542" s="3"/>
      <c r="I1542" s="3"/>
    </row>
    <row r="1543" spans="1:9" x14ac:dyDescent="0.3">
      <c r="A1543" s="2"/>
      <c r="H1543" s="3"/>
      <c r="I1543" s="3"/>
    </row>
    <row r="1544" spans="1:9" x14ac:dyDescent="0.3">
      <c r="A1544" s="2"/>
      <c r="H1544" s="3"/>
      <c r="I1544" s="3"/>
    </row>
    <row r="1545" spans="1:9" x14ac:dyDescent="0.3">
      <c r="A1545" s="2"/>
      <c r="H1545" s="3"/>
      <c r="I1545" s="3"/>
    </row>
    <row r="1546" spans="1:9" x14ac:dyDescent="0.3">
      <c r="A1546" s="2"/>
      <c r="H1546" s="3"/>
      <c r="I1546" s="3"/>
    </row>
    <row r="1547" spans="1:9" x14ac:dyDescent="0.3">
      <c r="A1547" s="2"/>
      <c r="H1547" s="3"/>
      <c r="I1547" s="3"/>
    </row>
    <row r="1548" spans="1:9" x14ac:dyDescent="0.3">
      <c r="A1548" s="2"/>
      <c r="H1548" s="3"/>
      <c r="I1548" s="3"/>
    </row>
    <row r="1549" spans="1:9" x14ac:dyDescent="0.3">
      <c r="A1549" s="2"/>
      <c r="H1549" s="3"/>
      <c r="I1549" s="3"/>
    </row>
    <row r="1550" spans="1:9" x14ac:dyDescent="0.3">
      <c r="A1550" s="2"/>
      <c r="H1550" s="3"/>
      <c r="I1550" s="3"/>
    </row>
    <row r="1551" spans="1:9" x14ac:dyDescent="0.3">
      <c r="A1551" s="2"/>
      <c r="H1551" s="3"/>
      <c r="I1551" s="3"/>
    </row>
    <row r="1552" spans="1:9" x14ac:dyDescent="0.3">
      <c r="A1552" s="2"/>
      <c r="H1552" s="3"/>
      <c r="I1552" s="3"/>
    </row>
    <row r="1553" spans="1:9" x14ac:dyDescent="0.3">
      <c r="A1553" s="2"/>
      <c r="H1553" s="3"/>
      <c r="I1553" s="3"/>
    </row>
    <row r="1554" spans="1:9" x14ac:dyDescent="0.3">
      <c r="A1554" s="2"/>
      <c r="H1554" s="3"/>
      <c r="I1554" s="3"/>
    </row>
    <row r="1555" spans="1:9" x14ac:dyDescent="0.3">
      <c r="A1555" s="2"/>
      <c r="H1555" s="3"/>
      <c r="I1555" s="3"/>
    </row>
    <row r="1556" spans="1:9" x14ac:dyDescent="0.3">
      <c r="A1556" s="2"/>
      <c r="H1556" s="3"/>
      <c r="I1556" s="3"/>
    </row>
    <row r="1557" spans="1:9" x14ac:dyDescent="0.3">
      <c r="A1557" s="2"/>
      <c r="H1557" s="3"/>
      <c r="I1557" s="3"/>
    </row>
    <row r="1558" spans="1:9" x14ac:dyDescent="0.3">
      <c r="A1558" s="2"/>
      <c r="H1558" s="3"/>
      <c r="I1558" s="3"/>
    </row>
    <row r="1559" spans="1:9" x14ac:dyDescent="0.3">
      <c r="A1559" s="2"/>
      <c r="H1559" s="3"/>
      <c r="I1559" s="3"/>
    </row>
    <row r="1560" spans="1:9" x14ac:dyDescent="0.3">
      <c r="A1560" s="2"/>
      <c r="H1560" s="3"/>
      <c r="I1560" s="3"/>
    </row>
    <row r="1561" spans="1:9" x14ac:dyDescent="0.3">
      <c r="A1561" s="2"/>
      <c r="H1561" s="3"/>
      <c r="I1561" s="3"/>
    </row>
    <row r="1562" spans="1:9" x14ac:dyDescent="0.3">
      <c r="A1562" s="2"/>
      <c r="H1562" s="3"/>
      <c r="I1562" s="3"/>
    </row>
    <row r="1563" spans="1:9" x14ac:dyDescent="0.3">
      <c r="A1563" s="2"/>
      <c r="H1563" s="3"/>
      <c r="I1563" s="3"/>
    </row>
    <row r="1564" spans="1:9" x14ac:dyDescent="0.3">
      <c r="A1564" s="2"/>
      <c r="H1564" s="3"/>
      <c r="I1564" s="3"/>
    </row>
    <row r="1565" spans="1:9" x14ac:dyDescent="0.3">
      <c r="A1565" s="2"/>
      <c r="H1565" s="3"/>
      <c r="I1565" s="3"/>
    </row>
    <row r="1566" spans="1:9" x14ac:dyDescent="0.3">
      <c r="A1566" s="2"/>
      <c r="H1566" s="3"/>
      <c r="I1566" s="3"/>
    </row>
    <row r="1567" spans="1:9" x14ac:dyDescent="0.3">
      <c r="A1567" s="2"/>
      <c r="H1567" s="3"/>
      <c r="I1567" s="3"/>
    </row>
    <row r="1568" spans="1:9" x14ac:dyDescent="0.3">
      <c r="A1568" s="2"/>
      <c r="H1568" s="3"/>
      <c r="I1568" s="3"/>
    </row>
    <row r="1569" spans="1:9" x14ac:dyDescent="0.3">
      <c r="A1569" s="2"/>
      <c r="H1569" s="3"/>
      <c r="I1569" s="3"/>
    </row>
    <row r="1570" spans="1:9" x14ac:dyDescent="0.3">
      <c r="A1570" s="2"/>
      <c r="H1570" s="3"/>
      <c r="I1570" s="3"/>
    </row>
    <row r="1571" spans="1:9" x14ac:dyDescent="0.3">
      <c r="A1571" s="2"/>
      <c r="H1571" s="3"/>
      <c r="I1571" s="3"/>
    </row>
    <row r="1572" spans="1:9" x14ac:dyDescent="0.3">
      <c r="A1572" s="2"/>
      <c r="H1572" s="3"/>
      <c r="I1572" s="3"/>
    </row>
    <row r="1573" spans="1:9" x14ac:dyDescent="0.3">
      <c r="A1573" s="2"/>
      <c r="H1573" s="3"/>
      <c r="I1573" s="3"/>
    </row>
    <row r="1574" spans="1:9" x14ac:dyDescent="0.3">
      <c r="A1574" s="2"/>
      <c r="H1574" s="3"/>
      <c r="I1574" s="3"/>
    </row>
    <row r="1575" spans="1:9" x14ac:dyDescent="0.3">
      <c r="A1575" s="2"/>
      <c r="H1575" s="3"/>
      <c r="I1575" s="3"/>
    </row>
    <row r="1576" spans="1:9" x14ac:dyDescent="0.3">
      <c r="A1576" s="2"/>
      <c r="H1576" s="3"/>
      <c r="I1576" s="3"/>
    </row>
    <row r="1577" spans="1:9" x14ac:dyDescent="0.3">
      <c r="A1577" s="2"/>
      <c r="H1577" s="3"/>
      <c r="I1577" s="3"/>
    </row>
    <row r="1578" spans="1:9" x14ac:dyDescent="0.3">
      <c r="A1578" s="2"/>
      <c r="H1578" s="3"/>
      <c r="I1578" s="3"/>
    </row>
    <row r="1579" spans="1:9" x14ac:dyDescent="0.3">
      <c r="A1579" s="2"/>
      <c r="H1579" s="3"/>
      <c r="I1579" s="3"/>
    </row>
    <row r="1580" spans="1:9" x14ac:dyDescent="0.3">
      <c r="A1580" s="2"/>
      <c r="H1580" s="3"/>
      <c r="I1580" s="3"/>
    </row>
    <row r="1581" spans="1:9" x14ac:dyDescent="0.3">
      <c r="A1581" s="2"/>
      <c r="H1581" s="3"/>
      <c r="I1581" s="3"/>
    </row>
    <row r="1582" spans="1:9" x14ac:dyDescent="0.3">
      <c r="A1582" s="2"/>
      <c r="H1582" s="3"/>
      <c r="I1582" s="3"/>
    </row>
    <row r="1583" spans="1:9" x14ac:dyDescent="0.3">
      <c r="A1583" s="2"/>
      <c r="H1583" s="3"/>
      <c r="I1583" s="3"/>
    </row>
    <row r="1584" spans="1:9" x14ac:dyDescent="0.3">
      <c r="A1584" s="2"/>
      <c r="H1584" s="3"/>
      <c r="I1584" s="3"/>
    </row>
    <row r="1585" spans="1:9" x14ac:dyDescent="0.3">
      <c r="A1585" s="2"/>
      <c r="H1585" s="3"/>
      <c r="I1585" s="3"/>
    </row>
    <row r="1586" spans="1:9" x14ac:dyDescent="0.3">
      <c r="A1586" s="2"/>
      <c r="H1586" s="3"/>
      <c r="I1586" s="3"/>
    </row>
    <row r="1587" spans="1:9" x14ac:dyDescent="0.3">
      <c r="A1587" s="2"/>
      <c r="H1587" s="3"/>
      <c r="I1587" s="3"/>
    </row>
    <row r="1588" spans="1:9" x14ac:dyDescent="0.3">
      <c r="A1588" s="2"/>
      <c r="H1588" s="3"/>
      <c r="I1588" s="3"/>
    </row>
    <row r="1589" spans="1:9" x14ac:dyDescent="0.3">
      <c r="A1589" s="2"/>
      <c r="H1589" s="3"/>
      <c r="I1589" s="3"/>
    </row>
    <row r="1590" spans="1:9" x14ac:dyDescent="0.3">
      <c r="A1590" s="2"/>
      <c r="H1590" s="3"/>
      <c r="I1590" s="3"/>
    </row>
    <row r="1591" spans="1:9" x14ac:dyDescent="0.3">
      <c r="A1591" s="2"/>
      <c r="H1591" s="3"/>
      <c r="I1591" s="3"/>
    </row>
    <row r="1592" spans="1:9" x14ac:dyDescent="0.3">
      <c r="A1592" s="2"/>
      <c r="H1592" s="3"/>
      <c r="I1592" s="3"/>
    </row>
    <row r="1593" spans="1:9" x14ac:dyDescent="0.3">
      <c r="A1593" s="2"/>
      <c r="H1593" s="3"/>
      <c r="I1593" s="3"/>
    </row>
    <row r="1594" spans="1:9" x14ac:dyDescent="0.3">
      <c r="A1594" s="2"/>
      <c r="H1594" s="3"/>
      <c r="I1594" s="3"/>
    </row>
    <row r="1595" spans="1:9" x14ac:dyDescent="0.3">
      <c r="A1595" s="2"/>
      <c r="H1595" s="3"/>
      <c r="I1595" s="3"/>
    </row>
    <row r="1596" spans="1:9" x14ac:dyDescent="0.3">
      <c r="A1596" s="2"/>
      <c r="H1596" s="3"/>
      <c r="I1596" s="3"/>
    </row>
    <row r="1597" spans="1:9" x14ac:dyDescent="0.3">
      <c r="A1597" s="2"/>
      <c r="H1597" s="3"/>
      <c r="I1597" s="3"/>
    </row>
    <row r="1598" spans="1:9" x14ac:dyDescent="0.3">
      <c r="A1598" s="2"/>
      <c r="H1598" s="3"/>
      <c r="I1598" s="3"/>
    </row>
    <row r="1599" spans="1:9" x14ac:dyDescent="0.3">
      <c r="A1599" s="2"/>
      <c r="H1599" s="3"/>
      <c r="I1599" s="3"/>
    </row>
    <row r="1600" spans="1:9" x14ac:dyDescent="0.3">
      <c r="A1600" s="2"/>
      <c r="H1600" s="3"/>
      <c r="I1600" s="3"/>
    </row>
    <row r="1601" spans="1:9" x14ac:dyDescent="0.3">
      <c r="A1601" s="2"/>
      <c r="H1601" s="3"/>
      <c r="I1601" s="3"/>
    </row>
    <row r="1602" spans="1:9" x14ac:dyDescent="0.3">
      <c r="A1602" s="2"/>
      <c r="H1602" s="3"/>
      <c r="I1602" s="3"/>
    </row>
    <row r="1603" spans="1:9" x14ac:dyDescent="0.3">
      <c r="A1603" s="2"/>
      <c r="H1603" s="3"/>
      <c r="I1603" s="3"/>
    </row>
    <row r="1604" spans="1:9" x14ac:dyDescent="0.3">
      <c r="A1604" s="2"/>
      <c r="H1604" s="3"/>
      <c r="I1604" s="3"/>
    </row>
    <row r="1605" spans="1:9" x14ac:dyDescent="0.3">
      <c r="A1605" s="2"/>
      <c r="H1605" s="3"/>
      <c r="I1605" s="3"/>
    </row>
    <row r="1606" spans="1:9" x14ac:dyDescent="0.3">
      <c r="A1606" s="2"/>
      <c r="H1606" s="3"/>
      <c r="I1606" s="3"/>
    </row>
    <row r="1607" spans="1:9" x14ac:dyDescent="0.3">
      <c r="A1607" s="2"/>
      <c r="H1607" s="3"/>
      <c r="I1607" s="3"/>
    </row>
    <row r="1608" spans="1:9" x14ac:dyDescent="0.3">
      <c r="A1608" s="2"/>
      <c r="H1608" s="3"/>
      <c r="I1608" s="3"/>
    </row>
    <row r="1609" spans="1:9" x14ac:dyDescent="0.3">
      <c r="A1609" s="2"/>
      <c r="H1609" s="3"/>
      <c r="I1609" s="3"/>
    </row>
    <row r="1610" spans="1:9" x14ac:dyDescent="0.3">
      <c r="A1610" s="2"/>
      <c r="H1610" s="3"/>
      <c r="I1610" s="3"/>
    </row>
    <row r="1611" spans="1:9" x14ac:dyDescent="0.3">
      <c r="A1611" s="2"/>
      <c r="H1611" s="3"/>
      <c r="I1611" s="3"/>
    </row>
    <row r="1612" spans="1:9" x14ac:dyDescent="0.3">
      <c r="A1612" s="2"/>
      <c r="H1612" s="3"/>
      <c r="I1612" s="3"/>
    </row>
    <row r="1613" spans="1:9" x14ac:dyDescent="0.3">
      <c r="A1613" s="2"/>
      <c r="H1613" s="3"/>
      <c r="I1613" s="3"/>
    </row>
    <row r="1614" spans="1:9" x14ac:dyDescent="0.3">
      <c r="A1614" s="2"/>
      <c r="H1614" s="3"/>
      <c r="I1614" s="3"/>
    </row>
    <row r="1615" spans="1:9" x14ac:dyDescent="0.3">
      <c r="A1615" s="2"/>
      <c r="H1615" s="3"/>
      <c r="I1615" s="3"/>
    </row>
    <row r="1616" spans="1:9" x14ac:dyDescent="0.3">
      <c r="A1616" s="2"/>
      <c r="H1616" s="3"/>
      <c r="I1616" s="3"/>
    </row>
    <row r="1617" spans="1:9" x14ac:dyDescent="0.3">
      <c r="A1617" s="2"/>
      <c r="H1617" s="3"/>
      <c r="I1617" s="3"/>
    </row>
    <row r="1618" spans="1:9" x14ac:dyDescent="0.3">
      <c r="A1618" s="2"/>
      <c r="H1618" s="3"/>
      <c r="I1618" s="3"/>
    </row>
    <row r="1619" spans="1:9" x14ac:dyDescent="0.3">
      <c r="A1619" s="2"/>
      <c r="H1619" s="3"/>
      <c r="I1619" s="3"/>
    </row>
    <row r="1620" spans="1:9" x14ac:dyDescent="0.3">
      <c r="A1620" s="2"/>
      <c r="H1620" s="3"/>
      <c r="I1620" s="3"/>
    </row>
    <row r="1621" spans="1:9" x14ac:dyDescent="0.3">
      <c r="A1621" s="2"/>
      <c r="H1621" s="3"/>
      <c r="I1621" s="3"/>
    </row>
    <row r="1622" spans="1:9" x14ac:dyDescent="0.3">
      <c r="A1622" s="2"/>
      <c r="H1622" s="3"/>
      <c r="I1622" s="3"/>
    </row>
    <row r="1623" spans="1:9" x14ac:dyDescent="0.3">
      <c r="A1623" s="2"/>
      <c r="H1623" s="3"/>
      <c r="I1623" s="3"/>
    </row>
    <row r="1624" spans="1:9" x14ac:dyDescent="0.3">
      <c r="A1624" s="2"/>
      <c r="H1624" s="3"/>
      <c r="I1624" s="3"/>
    </row>
    <row r="1625" spans="1:9" x14ac:dyDescent="0.3">
      <c r="A1625" s="2"/>
      <c r="H1625" s="3"/>
      <c r="I1625" s="3"/>
    </row>
    <row r="1626" spans="1:9" x14ac:dyDescent="0.3">
      <c r="A1626" s="2"/>
      <c r="H1626" s="3"/>
      <c r="I1626" s="3"/>
    </row>
    <row r="1627" spans="1:9" x14ac:dyDescent="0.3">
      <c r="A1627" s="2"/>
      <c r="H1627" s="3"/>
      <c r="I1627" s="3"/>
    </row>
    <row r="1628" spans="1:9" x14ac:dyDescent="0.3">
      <c r="A1628" s="2"/>
      <c r="H1628" s="3"/>
      <c r="I1628" s="3"/>
    </row>
    <row r="1629" spans="1:9" x14ac:dyDescent="0.3">
      <c r="A1629" s="2"/>
      <c r="H1629" s="3"/>
      <c r="I1629" s="3"/>
    </row>
    <row r="1630" spans="1:9" x14ac:dyDescent="0.3">
      <c r="A1630" s="2"/>
      <c r="H1630" s="3"/>
      <c r="I1630" s="3"/>
    </row>
    <row r="1631" spans="1:9" x14ac:dyDescent="0.3">
      <c r="A1631" s="2"/>
      <c r="H1631" s="3"/>
      <c r="I1631" s="3"/>
    </row>
    <row r="1632" spans="1:9" x14ac:dyDescent="0.3">
      <c r="A1632" s="2"/>
      <c r="H1632" s="3"/>
      <c r="I1632" s="3"/>
    </row>
    <row r="1633" spans="1:9" x14ac:dyDescent="0.3">
      <c r="A1633" s="2"/>
      <c r="H1633" s="3"/>
      <c r="I1633" s="3"/>
    </row>
    <row r="1634" spans="1:9" x14ac:dyDescent="0.3">
      <c r="A1634" s="2"/>
      <c r="H1634" s="3"/>
      <c r="I1634" s="3"/>
    </row>
    <row r="1635" spans="1:9" x14ac:dyDescent="0.3">
      <c r="A1635" s="2"/>
      <c r="H1635" s="3"/>
      <c r="I1635" s="3"/>
    </row>
    <row r="1636" spans="1:9" x14ac:dyDescent="0.3">
      <c r="A1636" s="2"/>
      <c r="H1636" s="3"/>
      <c r="I1636" s="3"/>
    </row>
    <row r="1637" spans="1:9" x14ac:dyDescent="0.3">
      <c r="A1637" s="2"/>
      <c r="H1637" s="3"/>
      <c r="I1637" s="3"/>
    </row>
    <row r="1638" spans="1:9" x14ac:dyDescent="0.3">
      <c r="A1638" s="2"/>
      <c r="H1638" s="3"/>
      <c r="I1638" s="3"/>
    </row>
    <row r="1639" spans="1:9" x14ac:dyDescent="0.3">
      <c r="A1639" s="2"/>
      <c r="H1639" s="3"/>
      <c r="I1639" s="3"/>
    </row>
    <row r="1640" spans="1:9" x14ac:dyDescent="0.3">
      <c r="A1640" s="2"/>
      <c r="H1640" s="3"/>
      <c r="I1640" s="3"/>
    </row>
    <row r="1641" spans="1:9" x14ac:dyDescent="0.3">
      <c r="A1641" s="2"/>
      <c r="H1641" s="3"/>
      <c r="I1641" s="3"/>
    </row>
    <row r="1642" spans="1:9" x14ac:dyDescent="0.3">
      <c r="A1642" s="2"/>
      <c r="H1642" s="3"/>
      <c r="I1642" s="3"/>
    </row>
    <row r="1643" spans="1:9" x14ac:dyDescent="0.3">
      <c r="A1643" s="2"/>
      <c r="H1643" s="3"/>
      <c r="I1643" s="3"/>
    </row>
    <row r="1644" spans="1:9" x14ac:dyDescent="0.3">
      <c r="A1644" s="2"/>
      <c r="H1644" s="3"/>
      <c r="I1644" s="3"/>
    </row>
    <row r="1645" spans="1:9" x14ac:dyDescent="0.3">
      <c r="A1645" s="2"/>
      <c r="H1645" s="3"/>
      <c r="I1645" s="3"/>
    </row>
    <row r="1646" spans="1:9" x14ac:dyDescent="0.3">
      <c r="A1646" s="2"/>
      <c r="H1646" s="3"/>
      <c r="I1646" s="3"/>
    </row>
    <row r="1647" spans="1:9" x14ac:dyDescent="0.3">
      <c r="A1647" s="2"/>
      <c r="H1647" s="3"/>
      <c r="I1647" s="3"/>
    </row>
    <row r="1648" spans="1:9" x14ac:dyDescent="0.3">
      <c r="A1648" s="2"/>
      <c r="H1648" s="3"/>
      <c r="I1648" s="3"/>
    </row>
    <row r="1649" spans="1:9" x14ac:dyDescent="0.3">
      <c r="A1649" s="2"/>
      <c r="H1649" s="3"/>
      <c r="I1649" s="3"/>
    </row>
    <row r="1650" spans="1:9" x14ac:dyDescent="0.3">
      <c r="A1650" s="2"/>
      <c r="H1650" s="3"/>
      <c r="I1650" s="3"/>
    </row>
    <row r="1651" spans="1:9" x14ac:dyDescent="0.3">
      <c r="A1651" s="2"/>
      <c r="H1651" s="3"/>
      <c r="I1651" s="3"/>
    </row>
    <row r="1652" spans="1:9" x14ac:dyDescent="0.3">
      <c r="A1652" s="2"/>
      <c r="H1652" s="3"/>
      <c r="I1652" s="3"/>
    </row>
    <row r="1653" spans="1:9" x14ac:dyDescent="0.3">
      <c r="A1653" s="2"/>
      <c r="H1653" s="3"/>
      <c r="I1653" s="3"/>
    </row>
    <row r="1654" spans="1:9" x14ac:dyDescent="0.3">
      <c r="A1654" s="2"/>
      <c r="H1654" s="3"/>
      <c r="I1654" s="3"/>
    </row>
    <row r="1655" spans="1:9" x14ac:dyDescent="0.3">
      <c r="A1655" s="2"/>
      <c r="H1655" s="3"/>
      <c r="I1655" s="3"/>
    </row>
    <row r="1656" spans="1:9" x14ac:dyDescent="0.3">
      <c r="A1656" s="2"/>
      <c r="H1656" s="3"/>
      <c r="I1656" s="3"/>
    </row>
    <row r="1657" spans="1:9" x14ac:dyDescent="0.3">
      <c r="A1657" s="2"/>
      <c r="H1657" s="3"/>
      <c r="I1657" s="3"/>
    </row>
    <row r="1658" spans="1:9" x14ac:dyDescent="0.3">
      <c r="A1658" s="2"/>
      <c r="H1658" s="3"/>
      <c r="I1658" s="3"/>
    </row>
    <row r="1659" spans="1:9" x14ac:dyDescent="0.3">
      <c r="A1659" s="2"/>
      <c r="H1659" s="3"/>
      <c r="I1659" s="3"/>
    </row>
    <row r="1660" spans="1:9" x14ac:dyDescent="0.3">
      <c r="A1660" s="2"/>
      <c r="H1660" s="3"/>
      <c r="I1660" s="3"/>
    </row>
    <row r="1661" spans="1:9" x14ac:dyDescent="0.3">
      <c r="A1661" s="2"/>
      <c r="H1661" s="3"/>
      <c r="I1661" s="3"/>
    </row>
    <row r="1662" spans="1:9" x14ac:dyDescent="0.3">
      <c r="A1662" s="2"/>
      <c r="H1662" s="3"/>
      <c r="I1662" s="3"/>
    </row>
    <row r="1663" spans="1:9" x14ac:dyDescent="0.3">
      <c r="A1663" s="2"/>
      <c r="H1663" s="3"/>
      <c r="I1663" s="3"/>
    </row>
    <row r="1664" spans="1:9" x14ac:dyDescent="0.3">
      <c r="A1664" s="2"/>
      <c r="H1664" s="3"/>
      <c r="I1664" s="3"/>
    </row>
    <row r="1665" spans="1:9" x14ac:dyDescent="0.3">
      <c r="A1665" s="2"/>
      <c r="H1665" s="3"/>
      <c r="I1665" s="3"/>
    </row>
    <row r="1666" spans="1:9" x14ac:dyDescent="0.3">
      <c r="A1666" s="2"/>
      <c r="H1666" s="3"/>
      <c r="I1666" s="3"/>
    </row>
    <row r="1667" spans="1:9" x14ac:dyDescent="0.3">
      <c r="A1667" s="2"/>
      <c r="H1667" s="3"/>
      <c r="I1667" s="3"/>
    </row>
    <row r="1668" spans="1:9" x14ac:dyDescent="0.3">
      <c r="A1668" s="2"/>
      <c r="H1668" s="3"/>
      <c r="I1668" s="3"/>
    </row>
    <row r="1669" spans="1:9" x14ac:dyDescent="0.3">
      <c r="A1669" s="2"/>
      <c r="H1669" s="3"/>
      <c r="I1669" s="3"/>
    </row>
    <row r="1670" spans="1:9" x14ac:dyDescent="0.3">
      <c r="A1670" s="2"/>
      <c r="H1670" s="3"/>
      <c r="I1670" s="3"/>
    </row>
    <row r="1671" spans="1:9" x14ac:dyDescent="0.3">
      <c r="A1671" s="2"/>
      <c r="H1671" s="3"/>
      <c r="I1671" s="3"/>
    </row>
    <row r="1672" spans="1:9" x14ac:dyDescent="0.3">
      <c r="A1672" s="2"/>
      <c r="H1672" s="3"/>
      <c r="I1672" s="3"/>
    </row>
    <row r="1673" spans="1:9" x14ac:dyDescent="0.3">
      <c r="A1673" s="2"/>
      <c r="H1673" s="3"/>
      <c r="I1673" s="3"/>
    </row>
    <row r="1674" spans="1:9" x14ac:dyDescent="0.3">
      <c r="A1674" s="2"/>
      <c r="H1674" s="3"/>
      <c r="I1674" s="3"/>
    </row>
    <row r="1675" spans="1:9" x14ac:dyDescent="0.3">
      <c r="A1675" s="2"/>
      <c r="H1675" s="3"/>
      <c r="I1675" s="3"/>
    </row>
    <row r="1676" spans="1:9" x14ac:dyDescent="0.3">
      <c r="A1676" s="2"/>
      <c r="H1676" s="3"/>
      <c r="I1676" s="3"/>
    </row>
    <row r="1677" spans="1:9" x14ac:dyDescent="0.3">
      <c r="A1677" s="2"/>
      <c r="H1677" s="3"/>
      <c r="I1677" s="3"/>
    </row>
    <row r="1678" spans="1:9" x14ac:dyDescent="0.3">
      <c r="A1678" s="2"/>
      <c r="H1678" s="3"/>
      <c r="I1678" s="3"/>
    </row>
    <row r="1679" spans="1:9" x14ac:dyDescent="0.3">
      <c r="A1679" s="2"/>
      <c r="H1679" s="3"/>
      <c r="I1679" s="3"/>
    </row>
    <row r="1680" spans="1:9" x14ac:dyDescent="0.3">
      <c r="A1680" s="2"/>
      <c r="H1680" s="3"/>
      <c r="I1680" s="3"/>
    </row>
    <row r="1681" spans="1:9" x14ac:dyDescent="0.3">
      <c r="A1681" s="2"/>
      <c r="H1681" s="3"/>
      <c r="I1681" s="3"/>
    </row>
    <row r="1682" spans="1:9" x14ac:dyDescent="0.3">
      <c r="A1682" s="2"/>
      <c r="H1682" s="3"/>
      <c r="I1682" s="3"/>
    </row>
    <row r="1683" spans="1:9" x14ac:dyDescent="0.3">
      <c r="A1683" s="2"/>
      <c r="H1683" s="3"/>
      <c r="I1683" s="3"/>
    </row>
    <row r="1684" spans="1:9" x14ac:dyDescent="0.3">
      <c r="A1684" s="2"/>
      <c r="H1684" s="3"/>
      <c r="I1684" s="3"/>
    </row>
    <row r="1685" spans="1:9" x14ac:dyDescent="0.3">
      <c r="A1685" s="2"/>
      <c r="H1685" s="3"/>
      <c r="I1685" s="3"/>
    </row>
    <row r="1686" spans="1:9" x14ac:dyDescent="0.3">
      <c r="A1686" s="2"/>
      <c r="H1686" s="3"/>
      <c r="I1686" s="3"/>
    </row>
    <row r="1687" spans="1:9" x14ac:dyDescent="0.3">
      <c r="A1687" s="2"/>
      <c r="H1687" s="3"/>
      <c r="I1687" s="3"/>
    </row>
    <row r="1688" spans="1:9" x14ac:dyDescent="0.3">
      <c r="A1688" s="2"/>
      <c r="H1688" s="3"/>
      <c r="I1688" s="3"/>
    </row>
    <row r="1689" spans="1:9" x14ac:dyDescent="0.3">
      <c r="A1689" s="2"/>
      <c r="H1689" s="3"/>
      <c r="I1689" s="3"/>
    </row>
    <row r="1690" spans="1:9" x14ac:dyDescent="0.3">
      <c r="A1690" s="2"/>
      <c r="H1690" s="3"/>
      <c r="I1690" s="3"/>
    </row>
    <row r="1691" spans="1:9" x14ac:dyDescent="0.3">
      <c r="A1691" s="2"/>
      <c r="H1691" s="3"/>
      <c r="I1691" s="3"/>
    </row>
    <row r="1692" spans="1:9" x14ac:dyDescent="0.3">
      <c r="A1692" s="2"/>
      <c r="H1692" s="3"/>
      <c r="I1692" s="3"/>
    </row>
    <row r="1693" spans="1:9" x14ac:dyDescent="0.3">
      <c r="A1693" s="2"/>
      <c r="H1693" s="3"/>
      <c r="I1693" s="3"/>
    </row>
    <row r="1694" spans="1:9" x14ac:dyDescent="0.3">
      <c r="A1694" s="2"/>
      <c r="H1694" s="3"/>
      <c r="I1694" s="3"/>
    </row>
    <row r="1695" spans="1:9" x14ac:dyDescent="0.3">
      <c r="A1695" s="2"/>
      <c r="H1695" s="3"/>
      <c r="I1695" s="3"/>
    </row>
    <row r="1696" spans="1:9" x14ac:dyDescent="0.3">
      <c r="A1696" s="2"/>
      <c r="H1696" s="3"/>
      <c r="I1696" s="3"/>
    </row>
    <row r="1697" spans="1:9" x14ac:dyDescent="0.3">
      <c r="A1697" s="2"/>
      <c r="H1697" s="3"/>
      <c r="I1697" s="3"/>
    </row>
    <row r="1698" spans="1:9" x14ac:dyDescent="0.3">
      <c r="A1698" s="2"/>
      <c r="H1698" s="3"/>
      <c r="I1698" s="3"/>
    </row>
    <row r="1699" spans="1:9" x14ac:dyDescent="0.3">
      <c r="A1699" s="2"/>
      <c r="H1699" s="3"/>
      <c r="I1699" s="3"/>
    </row>
    <row r="1700" spans="1:9" x14ac:dyDescent="0.3">
      <c r="A1700" s="2"/>
      <c r="H1700" s="3"/>
      <c r="I1700" s="3"/>
    </row>
    <row r="1701" spans="1:9" x14ac:dyDescent="0.3">
      <c r="A1701" s="2"/>
      <c r="H1701" s="3"/>
      <c r="I1701" s="3"/>
    </row>
    <row r="1702" spans="1:9" x14ac:dyDescent="0.3">
      <c r="A1702" s="2"/>
      <c r="H1702" s="3"/>
      <c r="I1702" s="3"/>
    </row>
    <row r="1703" spans="1:9" x14ac:dyDescent="0.3">
      <c r="A1703" s="2"/>
      <c r="H1703" s="3"/>
      <c r="I1703" s="3"/>
    </row>
    <row r="1704" spans="1:9" x14ac:dyDescent="0.3">
      <c r="A1704" s="2"/>
      <c r="H1704" s="3"/>
      <c r="I1704" s="3"/>
    </row>
    <row r="1705" spans="1:9" x14ac:dyDescent="0.3">
      <c r="A1705" s="2"/>
      <c r="H1705" s="3"/>
      <c r="I1705" s="3"/>
    </row>
    <row r="1706" spans="1:9" x14ac:dyDescent="0.3">
      <c r="A1706" s="2"/>
      <c r="H1706" s="3"/>
      <c r="I1706" s="3"/>
    </row>
    <row r="1707" spans="1:9" x14ac:dyDescent="0.3">
      <c r="A1707" s="2"/>
      <c r="H1707" s="3"/>
      <c r="I1707" s="3"/>
    </row>
    <row r="1708" spans="1:9" x14ac:dyDescent="0.3">
      <c r="A1708" s="2"/>
      <c r="H1708" s="3"/>
      <c r="I1708" s="3"/>
    </row>
    <row r="1709" spans="1:9" x14ac:dyDescent="0.3">
      <c r="A1709" s="2"/>
      <c r="H1709" s="3"/>
      <c r="I1709" s="3"/>
    </row>
    <row r="1710" spans="1:9" x14ac:dyDescent="0.3">
      <c r="A1710" s="2"/>
      <c r="H1710" s="3"/>
      <c r="I1710" s="3"/>
    </row>
    <row r="1711" spans="1:9" x14ac:dyDescent="0.3">
      <c r="A1711" s="2"/>
      <c r="H1711" s="3"/>
      <c r="I1711" s="3"/>
    </row>
    <row r="1712" spans="1:9" x14ac:dyDescent="0.3">
      <c r="A1712" s="2"/>
      <c r="H1712" s="3"/>
      <c r="I1712" s="3"/>
    </row>
    <row r="1713" spans="1:9" x14ac:dyDescent="0.3">
      <c r="A1713" s="2"/>
      <c r="H1713" s="3"/>
      <c r="I1713" s="3"/>
    </row>
    <row r="1714" spans="1:9" x14ac:dyDescent="0.3">
      <c r="A1714" s="2"/>
      <c r="H1714" s="3"/>
      <c r="I1714" s="3"/>
    </row>
    <row r="1715" spans="1:9" x14ac:dyDescent="0.3">
      <c r="A1715" s="2"/>
      <c r="H1715" s="3"/>
      <c r="I1715" s="3"/>
    </row>
    <row r="1716" spans="1:9" x14ac:dyDescent="0.3">
      <c r="A1716" s="2"/>
      <c r="H1716" s="3"/>
      <c r="I1716" s="3"/>
    </row>
    <row r="1717" spans="1:9" x14ac:dyDescent="0.3">
      <c r="A1717" s="2"/>
      <c r="H1717" s="3"/>
      <c r="I1717" s="3"/>
    </row>
    <row r="1718" spans="1:9" x14ac:dyDescent="0.3">
      <c r="A1718" s="2"/>
      <c r="H1718" s="3"/>
      <c r="I1718" s="3"/>
    </row>
    <row r="1719" spans="1:9" x14ac:dyDescent="0.3">
      <c r="A1719" s="2"/>
      <c r="H1719" s="3"/>
      <c r="I1719" s="3"/>
    </row>
    <row r="1720" spans="1:9" x14ac:dyDescent="0.3">
      <c r="A1720" s="2"/>
      <c r="H1720" s="3"/>
      <c r="I1720" s="3"/>
    </row>
    <row r="1721" spans="1:9" x14ac:dyDescent="0.3">
      <c r="A1721" s="2"/>
      <c r="H1721" s="3"/>
      <c r="I1721" s="3"/>
    </row>
    <row r="1722" spans="1:9" x14ac:dyDescent="0.3">
      <c r="A1722" s="2"/>
      <c r="H1722" s="3"/>
      <c r="I1722" s="3"/>
    </row>
    <row r="1723" spans="1:9" x14ac:dyDescent="0.3">
      <c r="A1723" s="2"/>
      <c r="H1723" s="3"/>
      <c r="I1723" s="3"/>
    </row>
    <row r="1724" spans="1:9" x14ac:dyDescent="0.3">
      <c r="A1724" s="2"/>
      <c r="H1724" s="3"/>
      <c r="I1724" s="3"/>
    </row>
    <row r="1725" spans="1:9" x14ac:dyDescent="0.3">
      <c r="A1725" s="2"/>
      <c r="H1725" s="3"/>
      <c r="I1725" s="3"/>
    </row>
    <row r="1726" spans="1:9" x14ac:dyDescent="0.3">
      <c r="A1726" s="2"/>
      <c r="H1726" s="3"/>
      <c r="I1726" s="3"/>
    </row>
    <row r="1727" spans="1:9" x14ac:dyDescent="0.3">
      <c r="A1727" s="2"/>
      <c r="H1727" s="3"/>
      <c r="I1727" s="3"/>
    </row>
    <row r="1728" spans="1:9" x14ac:dyDescent="0.3">
      <c r="A1728" s="2"/>
      <c r="H1728" s="3"/>
      <c r="I1728" s="3"/>
    </row>
    <row r="1729" spans="1:9" x14ac:dyDescent="0.3">
      <c r="A1729" s="2"/>
      <c r="H1729" s="3"/>
      <c r="I1729" s="3"/>
    </row>
    <row r="1730" spans="1:9" x14ac:dyDescent="0.3">
      <c r="A1730" s="2"/>
      <c r="H1730" s="3"/>
      <c r="I1730" s="3"/>
    </row>
    <row r="1731" spans="1:9" x14ac:dyDescent="0.3">
      <c r="A1731" s="2"/>
      <c r="H1731" s="3"/>
      <c r="I1731" s="3"/>
    </row>
    <row r="1732" spans="1:9" x14ac:dyDescent="0.3">
      <c r="A1732" s="2"/>
      <c r="H1732" s="3"/>
      <c r="I1732" s="3"/>
    </row>
    <row r="1733" spans="1:9" x14ac:dyDescent="0.3">
      <c r="A1733" s="2"/>
      <c r="H1733" s="3"/>
      <c r="I1733" s="3"/>
    </row>
    <row r="1734" spans="1:9" x14ac:dyDescent="0.3">
      <c r="A1734" s="2"/>
      <c r="H1734" s="3"/>
      <c r="I1734" s="3"/>
    </row>
    <row r="1735" spans="1:9" x14ac:dyDescent="0.3">
      <c r="A1735" s="2"/>
      <c r="H1735" s="3"/>
      <c r="I1735" s="3"/>
    </row>
    <row r="1736" spans="1:9" x14ac:dyDescent="0.3">
      <c r="A1736" s="2"/>
      <c r="H1736" s="3"/>
      <c r="I1736" s="3"/>
    </row>
    <row r="1737" spans="1:9" x14ac:dyDescent="0.3">
      <c r="A1737" s="2"/>
      <c r="H1737" s="3"/>
      <c r="I1737" s="3"/>
    </row>
    <row r="1738" spans="1:9" x14ac:dyDescent="0.3">
      <c r="A1738" s="2"/>
      <c r="H1738" s="3"/>
      <c r="I1738" s="3"/>
    </row>
    <row r="1739" spans="1:9" x14ac:dyDescent="0.3">
      <c r="A1739" s="2"/>
      <c r="H1739" s="3"/>
      <c r="I1739" s="3"/>
    </row>
    <row r="1740" spans="1:9" x14ac:dyDescent="0.3">
      <c r="A1740" s="2"/>
      <c r="H1740" s="3"/>
      <c r="I1740" s="3"/>
    </row>
    <row r="1741" spans="1:9" x14ac:dyDescent="0.3">
      <c r="A1741" s="2"/>
      <c r="H1741" s="3"/>
      <c r="I1741" s="3"/>
    </row>
    <row r="1742" spans="1:9" x14ac:dyDescent="0.3">
      <c r="A1742" s="2"/>
      <c r="H1742" s="3"/>
      <c r="I1742" s="3"/>
    </row>
    <row r="1743" spans="1:9" x14ac:dyDescent="0.3">
      <c r="A1743" s="2"/>
      <c r="H1743" s="3"/>
      <c r="I1743" s="3"/>
    </row>
    <row r="1744" spans="1:9" x14ac:dyDescent="0.3">
      <c r="A1744" s="2"/>
      <c r="H1744" s="3"/>
      <c r="I1744" s="3"/>
    </row>
    <row r="1745" spans="1:9" x14ac:dyDescent="0.3">
      <c r="A1745" s="2"/>
      <c r="H1745" s="3"/>
      <c r="I1745" s="3"/>
    </row>
    <row r="1746" spans="1:9" x14ac:dyDescent="0.3">
      <c r="A1746" s="2"/>
      <c r="H1746" s="3"/>
      <c r="I1746" s="3"/>
    </row>
    <row r="1747" spans="1:9" x14ac:dyDescent="0.3">
      <c r="A1747" s="2"/>
      <c r="H1747" s="3"/>
      <c r="I1747" s="3"/>
    </row>
    <row r="1748" spans="1:9" x14ac:dyDescent="0.3">
      <c r="A1748" s="2"/>
      <c r="H1748" s="3"/>
      <c r="I1748" s="3"/>
    </row>
    <row r="1749" spans="1:9" x14ac:dyDescent="0.3">
      <c r="A1749" s="2"/>
      <c r="H1749" s="3"/>
      <c r="I1749" s="3"/>
    </row>
    <row r="1750" spans="1:9" x14ac:dyDescent="0.3">
      <c r="A1750" s="2"/>
      <c r="H1750" s="3"/>
      <c r="I1750" s="3"/>
    </row>
    <row r="1751" spans="1:9" x14ac:dyDescent="0.3">
      <c r="A1751" s="2"/>
      <c r="H1751" s="3"/>
      <c r="I1751" s="3"/>
    </row>
    <row r="1752" spans="1:9" x14ac:dyDescent="0.3">
      <c r="A1752" s="2"/>
      <c r="H1752" s="3"/>
      <c r="I1752" s="3"/>
    </row>
    <row r="1753" spans="1:9" x14ac:dyDescent="0.3">
      <c r="A1753" s="2"/>
      <c r="H1753" s="3"/>
      <c r="I1753" s="3"/>
    </row>
    <row r="1754" spans="1:9" x14ac:dyDescent="0.3">
      <c r="A1754" s="2"/>
      <c r="H1754" s="3"/>
      <c r="I1754" s="3"/>
    </row>
    <row r="1755" spans="1:9" x14ac:dyDescent="0.3">
      <c r="A1755" s="2"/>
      <c r="H1755" s="3"/>
      <c r="I1755" s="3"/>
    </row>
    <row r="1756" spans="1:9" x14ac:dyDescent="0.3">
      <c r="A1756" s="2"/>
      <c r="H1756" s="3"/>
      <c r="I1756" s="3"/>
    </row>
    <row r="1757" spans="1:9" x14ac:dyDescent="0.3">
      <c r="A1757" s="2"/>
      <c r="H1757" s="3"/>
      <c r="I1757" s="3"/>
    </row>
    <row r="1758" spans="1:9" x14ac:dyDescent="0.3">
      <c r="A1758" s="2"/>
      <c r="H1758" s="3"/>
      <c r="I1758" s="3"/>
    </row>
    <row r="1759" spans="1:9" x14ac:dyDescent="0.3">
      <c r="A1759" s="2"/>
      <c r="H1759" s="3"/>
      <c r="I1759" s="3"/>
    </row>
    <row r="1760" spans="1:9" x14ac:dyDescent="0.3">
      <c r="A1760" s="2"/>
      <c r="H1760" s="3"/>
      <c r="I1760" s="3"/>
    </row>
    <row r="1761" spans="1:9" x14ac:dyDescent="0.3">
      <c r="A1761" s="2"/>
      <c r="H1761" s="3"/>
      <c r="I1761" s="3"/>
    </row>
    <row r="1762" spans="1:9" x14ac:dyDescent="0.3">
      <c r="A1762" s="2"/>
      <c r="H1762" s="3"/>
      <c r="I1762" s="3"/>
    </row>
    <row r="1763" spans="1:9" x14ac:dyDescent="0.3">
      <c r="A1763" s="2"/>
      <c r="H1763" s="3"/>
      <c r="I1763" s="3"/>
    </row>
    <row r="1764" spans="1:9" x14ac:dyDescent="0.3">
      <c r="A1764" s="2"/>
      <c r="H1764" s="3"/>
      <c r="I1764" s="3"/>
    </row>
    <row r="1765" spans="1:9" x14ac:dyDescent="0.3">
      <c r="A1765" s="2"/>
      <c r="H1765" s="3"/>
      <c r="I1765" s="3"/>
    </row>
    <row r="1766" spans="1:9" x14ac:dyDescent="0.3">
      <c r="A1766" s="2"/>
      <c r="H1766" s="3"/>
      <c r="I1766" s="3"/>
    </row>
    <row r="1767" spans="1:9" x14ac:dyDescent="0.3">
      <c r="A1767" s="2"/>
      <c r="H1767" s="3"/>
      <c r="I1767" s="3"/>
    </row>
    <row r="1768" spans="1:9" x14ac:dyDescent="0.3">
      <c r="A1768" s="2"/>
      <c r="H1768" s="3"/>
      <c r="I1768" s="3"/>
    </row>
    <row r="1769" spans="1:9" x14ac:dyDescent="0.3">
      <c r="A1769" s="2"/>
      <c r="H1769" s="3"/>
      <c r="I1769" s="3"/>
    </row>
    <row r="1770" spans="1:9" x14ac:dyDescent="0.3">
      <c r="A1770" s="2"/>
      <c r="H1770" s="3"/>
      <c r="I1770" s="3"/>
    </row>
    <row r="1771" spans="1:9" x14ac:dyDescent="0.3">
      <c r="A1771" s="2"/>
      <c r="H1771" s="3"/>
      <c r="I1771" s="3"/>
    </row>
    <row r="1772" spans="1:9" x14ac:dyDescent="0.3">
      <c r="A1772" s="2"/>
      <c r="H1772" s="3"/>
      <c r="I1772" s="3"/>
    </row>
    <row r="1773" spans="1:9" x14ac:dyDescent="0.3">
      <c r="A1773" s="2"/>
      <c r="H1773" s="3"/>
      <c r="I1773" s="3"/>
    </row>
    <row r="1774" spans="1:9" x14ac:dyDescent="0.3">
      <c r="A1774" s="2"/>
      <c r="H1774" s="3"/>
      <c r="I1774" s="3"/>
    </row>
    <row r="1775" spans="1:9" x14ac:dyDescent="0.3">
      <c r="A1775" s="2"/>
      <c r="H1775" s="3"/>
      <c r="I1775" s="3"/>
    </row>
    <row r="1776" spans="1:9" x14ac:dyDescent="0.3">
      <c r="A1776" s="2"/>
      <c r="H1776" s="3"/>
      <c r="I1776" s="3"/>
    </row>
    <row r="1777" spans="1:9" x14ac:dyDescent="0.3">
      <c r="A1777" s="2"/>
      <c r="H1777" s="3"/>
      <c r="I1777" s="3"/>
    </row>
    <row r="1778" spans="1:9" x14ac:dyDescent="0.3">
      <c r="A1778" s="2"/>
      <c r="H1778" s="3"/>
      <c r="I1778" s="3"/>
    </row>
    <row r="1779" spans="1:9" x14ac:dyDescent="0.3">
      <c r="A1779" s="2"/>
      <c r="H1779" s="3"/>
      <c r="I1779" s="3"/>
    </row>
    <row r="1780" spans="1:9" x14ac:dyDescent="0.3">
      <c r="A1780" s="2"/>
      <c r="H1780" s="3"/>
      <c r="I1780" s="3"/>
    </row>
    <row r="1781" spans="1:9" x14ac:dyDescent="0.3">
      <c r="A1781" s="2"/>
      <c r="H1781" s="3"/>
      <c r="I1781" s="3"/>
    </row>
    <row r="1782" spans="1:9" x14ac:dyDescent="0.3">
      <c r="A1782" s="2"/>
      <c r="H1782" s="3"/>
      <c r="I1782" s="3"/>
    </row>
    <row r="1783" spans="1:9" x14ac:dyDescent="0.3">
      <c r="A1783" s="2"/>
      <c r="H1783" s="3"/>
      <c r="I1783" s="3"/>
    </row>
    <row r="1784" spans="1:9" x14ac:dyDescent="0.3">
      <c r="A1784" s="2"/>
      <c r="H1784" s="3"/>
      <c r="I1784" s="3"/>
    </row>
    <row r="1785" spans="1:9" x14ac:dyDescent="0.3">
      <c r="A1785" s="2"/>
      <c r="H1785" s="3"/>
      <c r="I1785" s="3"/>
    </row>
    <row r="1786" spans="1:9" x14ac:dyDescent="0.3">
      <c r="A1786" s="2"/>
      <c r="H1786" s="3"/>
      <c r="I1786" s="3"/>
    </row>
    <row r="1787" spans="1:9" x14ac:dyDescent="0.3">
      <c r="A1787" s="2"/>
      <c r="H1787" s="3"/>
      <c r="I1787" s="3"/>
    </row>
    <row r="1788" spans="1:9" x14ac:dyDescent="0.3">
      <c r="A1788" s="2"/>
      <c r="H1788" s="3"/>
      <c r="I1788" s="3"/>
    </row>
    <row r="1789" spans="1:9" x14ac:dyDescent="0.3">
      <c r="A1789" s="2"/>
      <c r="H1789" s="3"/>
      <c r="I1789" s="3"/>
    </row>
    <row r="1790" spans="1:9" x14ac:dyDescent="0.3">
      <c r="A1790" s="2"/>
      <c r="H1790" s="3"/>
      <c r="I1790" s="3"/>
    </row>
    <row r="1791" spans="1:9" x14ac:dyDescent="0.3">
      <c r="A1791" s="2"/>
      <c r="H1791" s="3"/>
      <c r="I1791" s="3"/>
    </row>
    <row r="1792" spans="1:9" x14ac:dyDescent="0.3">
      <c r="A1792" s="2"/>
      <c r="H1792" s="3"/>
      <c r="I1792" s="3"/>
    </row>
    <row r="1793" spans="1:9" x14ac:dyDescent="0.3">
      <c r="A1793" s="2"/>
      <c r="H1793" s="3"/>
      <c r="I1793" s="3"/>
    </row>
    <row r="1794" spans="1:9" x14ac:dyDescent="0.3">
      <c r="A1794" s="2"/>
      <c r="H1794" s="3"/>
      <c r="I1794" s="3"/>
    </row>
    <row r="1795" spans="1:9" x14ac:dyDescent="0.3">
      <c r="A1795" s="2"/>
      <c r="H1795" s="3"/>
      <c r="I1795" s="3"/>
    </row>
    <row r="1796" spans="1:9" x14ac:dyDescent="0.3">
      <c r="A1796" s="2"/>
      <c r="H1796" s="3"/>
      <c r="I1796" s="3"/>
    </row>
    <row r="1797" spans="1:9" x14ac:dyDescent="0.3">
      <c r="A1797" s="2"/>
      <c r="H1797" s="3"/>
      <c r="I1797" s="3"/>
    </row>
    <row r="1798" spans="1:9" x14ac:dyDescent="0.3">
      <c r="A1798" s="2"/>
      <c r="H1798" s="3"/>
      <c r="I1798" s="3"/>
    </row>
    <row r="1799" spans="1:9" x14ac:dyDescent="0.3">
      <c r="A1799" s="2"/>
      <c r="H1799" s="3"/>
      <c r="I1799" s="3"/>
    </row>
    <row r="1800" spans="1:9" x14ac:dyDescent="0.3">
      <c r="A1800" s="2"/>
      <c r="H1800" s="3"/>
      <c r="I1800" s="3"/>
    </row>
    <row r="1801" spans="1:9" x14ac:dyDescent="0.3">
      <c r="A1801" s="2"/>
      <c r="H1801" s="3"/>
      <c r="I1801" s="3"/>
    </row>
    <row r="1802" spans="1:9" x14ac:dyDescent="0.3">
      <c r="A1802" s="2"/>
      <c r="H1802" s="3"/>
      <c r="I1802" s="3"/>
    </row>
    <row r="1803" spans="1:9" x14ac:dyDescent="0.3">
      <c r="A1803" s="2"/>
      <c r="H1803" s="3"/>
      <c r="I1803" s="3"/>
    </row>
    <row r="1804" spans="1:9" x14ac:dyDescent="0.3">
      <c r="A1804" s="2"/>
      <c r="H1804" s="3"/>
      <c r="I1804" s="3"/>
    </row>
    <row r="1805" spans="1:9" x14ac:dyDescent="0.3">
      <c r="A1805" s="2"/>
      <c r="H1805" s="3"/>
      <c r="I1805" s="3"/>
    </row>
    <row r="1806" spans="1:9" x14ac:dyDescent="0.3">
      <c r="A1806" s="2"/>
      <c r="H1806" s="3"/>
      <c r="I1806" s="3"/>
    </row>
    <row r="1807" spans="1:9" x14ac:dyDescent="0.3">
      <c r="A1807" s="2"/>
      <c r="H1807" s="3"/>
      <c r="I1807" s="3"/>
    </row>
    <row r="1808" spans="1:9" x14ac:dyDescent="0.3">
      <c r="A1808" s="2"/>
      <c r="H1808" s="3"/>
      <c r="I1808" s="3"/>
    </row>
    <row r="1809" spans="1:9" x14ac:dyDescent="0.3">
      <c r="A1809" s="2"/>
      <c r="H1809" s="3"/>
      <c r="I1809" s="3"/>
    </row>
    <row r="1810" spans="1:9" x14ac:dyDescent="0.3">
      <c r="A1810" s="2"/>
      <c r="H1810" s="3"/>
      <c r="I1810" s="3"/>
    </row>
    <row r="1811" spans="1:9" x14ac:dyDescent="0.3">
      <c r="A1811" s="2"/>
      <c r="H1811" s="3"/>
      <c r="I1811" s="3"/>
    </row>
    <row r="1812" spans="1:9" x14ac:dyDescent="0.3">
      <c r="A1812" s="2"/>
      <c r="H1812" s="3"/>
      <c r="I1812" s="3"/>
    </row>
    <row r="1813" spans="1:9" x14ac:dyDescent="0.3">
      <c r="A1813" s="2"/>
      <c r="H1813" s="3"/>
      <c r="I1813" s="3"/>
    </row>
    <row r="1814" spans="1:9" x14ac:dyDescent="0.3">
      <c r="A1814" s="2"/>
      <c r="H1814" s="3"/>
      <c r="I1814" s="3"/>
    </row>
    <row r="1815" spans="1:9" x14ac:dyDescent="0.3">
      <c r="A1815" s="2"/>
      <c r="H1815" s="3"/>
      <c r="I1815" s="3"/>
    </row>
    <row r="1816" spans="1:9" x14ac:dyDescent="0.3">
      <c r="A1816" s="2"/>
      <c r="H1816" s="3"/>
      <c r="I1816" s="3"/>
    </row>
    <row r="1817" spans="1:9" x14ac:dyDescent="0.3">
      <c r="A1817" s="2"/>
      <c r="H1817" s="3"/>
      <c r="I1817" s="3"/>
    </row>
    <row r="1818" spans="1:9" x14ac:dyDescent="0.3">
      <c r="A1818" s="2"/>
      <c r="H1818" s="3"/>
      <c r="I1818" s="3"/>
    </row>
    <row r="1819" spans="1:9" x14ac:dyDescent="0.3">
      <c r="A1819" s="2"/>
      <c r="H1819" s="3"/>
      <c r="I1819" s="3"/>
    </row>
    <row r="1820" spans="1:9" x14ac:dyDescent="0.3">
      <c r="A1820" s="2"/>
      <c r="H1820" s="3"/>
      <c r="I1820" s="3"/>
    </row>
    <row r="1821" spans="1:9" x14ac:dyDescent="0.3">
      <c r="A1821" s="2"/>
      <c r="H1821" s="3"/>
      <c r="I1821" s="3"/>
    </row>
    <row r="1822" spans="1:9" x14ac:dyDescent="0.3">
      <c r="A1822" s="2"/>
      <c r="H1822" s="3"/>
      <c r="I1822" s="3"/>
    </row>
    <row r="1823" spans="1:9" x14ac:dyDescent="0.3">
      <c r="A1823" s="2"/>
      <c r="H1823" s="3"/>
      <c r="I1823" s="3"/>
    </row>
    <row r="1824" spans="1:9" x14ac:dyDescent="0.3">
      <c r="A1824" s="2"/>
      <c r="H1824" s="3"/>
      <c r="I1824" s="3"/>
    </row>
    <row r="1825" spans="1:9" x14ac:dyDescent="0.3">
      <c r="A1825" s="2"/>
      <c r="H1825" s="3"/>
      <c r="I1825" s="3"/>
    </row>
    <row r="1826" spans="1:9" x14ac:dyDescent="0.3">
      <c r="A1826" s="2"/>
      <c r="H1826" s="3"/>
      <c r="I1826" s="3"/>
    </row>
    <row r="1827" spans="1:9" x14ac:dyDescent="0.3">
      <c r="A1827" s="2"/>
      <c r="H1827" s="3"/>
      <c r="I1827" s="3"/>
    </row>
    <row r="1828" spans="1:9" x14ac:dyDescent="0.3">
      <c r="A1828" s="2"/>
      <c r="H1828" s="3"/>
      <c r="I1828" s="3"/>
    </row>
    <row r="1829" spans="1:9" x14ac:dyDescent="0.3">
      <c r="A1829" s="2"/>
      <c r="H1829" s="3"/>
      <c r="I1829" s="3"/>
    </row>
    <row r="1830" spans="1:9" x14ac:dyDescent="0.3">
      <c r="A1830" s="2"/>
      <c r="H1830" s="3"/>
      <c r="I1830" s="3"/>
    </row>
    <row r="1831" spans="1:9" x14ac:dyDescent="0.3">
      <c r="A1831" s="2"/>
      <c r="H1831" s="3"/>
      <c r="I1831" s="3"/>
    </row>
    <row r="1832" spans="1:9" x14ac:dyDescent="0.3">
      <c r="A1832" s="2"/>
      <c r="H1832" s="3"/>
      <c r="I1832" s="3"/>
    </row>
    <row r="1833" spans="1:9" x14ac:dyDescent="0.3">
      <c r="A1833" s="2"/>
      <c r="H1833" s="3"/>
      <c r="I1833" s="3"/>
    </row>
    <row r="1834" spans="1:9" x14ac:dyDescent="0.3">
      <c r="A1834" s="2"/>
      <c r="H1834" s="3"/>
      <c r="I1834" s="3"/>
    </row>
    <row r="1835" spans="1:9" x14ac:dyDescent="0.3">
      <c r="A1835" s="2"/>
      <c r="H1835" s="3"/>
      <c r="I1835" s="3"/>
    </row>
    <row r="1836" spans="1:9" x14ac:dyDescent="0.3">
      <c r="A1836" s="2"/>
      <c r="H1836" s="3"/>
      <c r="I1836" s="3"/>
    </row>
    <row r="1837" spans="1:9" x14ac:dyDescent="0.3">
      <c r="A1837" s="2"/>
      <c r="H1837" s="3"/>
      <c r="I1837" s="3"/>
    </row>
    <row r="1838" spans="1:9" x14ac:dyDescent="0.3">
      <c r="A1838" s="2"/>
      <c r="H1838" s="3"/>
      <c r="I1838" s="3"/>
    </row>
    <row r="1839" spans="1:9" x14ac:dyDescent="0.3">
      <c r="A1839" s="2"/>
      <c r="H1839" s="3"/>
      <c r="I1839" s="3"/>
    </row>
    <row r="1840" spans="1:9" x14ac:dyDescent="0.3">
      <c r="A1840" s="2"/>
      <c r="H1840" s="3"/>
      <c r="I1840" s="3"/>
    </row>
    <row r="1841" spans="1:9" x14ac:dyDescent="0.3">
      <c r="A1841" s="2"/>
      <c r="H1841" s="3"/>
      <c r="I1841" s="3"/>
    </row>
    <row r="1842" spans="1:9" x14ac:dyDescent="0.3">
      <c r="A1842" s="2"/>
      <c r="H1842" s="3"/>
      <c r="I1842" s="3"/>
    </row>
    <row r="1843" spans="1:9" x14ac:dyDescent="0.3">
      <c r="A1843" s="2"/>
      <c r="H1843" s="3"/>
      <c r="I1843" s="3"/>
    </row>
    <row r="1844" spans="1:9" x14ac:dyDescent="0.3">
      <c r="A1844" s="2"/>
      <c r="H1844" s="3"/>
      <c r="I1844" s="3"/>
    </row>
    <row r="1845" spans="1:9" x14ac:dyDescent="0.3">
      <c r="A1845" s="2"/>
      <c r="H1845" s="3"/>
      <c r="I1845" s="3"/>
    </row>
    <row r="1846" spans="1:9" x14ac:dyDescent="0.3">
      <c r="A1846" s="2"/>
      <c r="H1846" s="3"/>
      <c r="I1846" s="3"/>
    </row>
    <row r="1847" spans="1:9" x14ac:dyDescent="0.3">
      <c r="A1847" s="2"/>
      <c r="H1847" s="3"/>
      <c r="I1847" s="3"/>
    </row>
    <row r="1848" spans="1:9" x14ac:dyDescent="0.3">
      <c r="A1848" s="2"/>
      <c r="H1848" s="3"/>
      <c r="I1848" s="3"/>
    </row>
    <row r="1849" spans="1:9" x14ac:dyDescent="0.3">
      <c r="A1849" s="2"/>
      <c r="H1849" s="3"/>
      <c r="I1849" s="3"/>
    </row>
    <row r="1850" spans="1:9" x14ac:dyDescent="0.3">
      <c r="A1850" s="2"/>
      <c r="H1850" s="3"/>
      <c r="I1850" s="3"/>
    </row>
    <row r="1851" spans="1:9" x14ac:dyDescent="0.3">
      <c r="A1851" s="2"/>
      <c r="H1851" s="3"/>
      <c r="I1851" s="3"/>
    </row>
    <row r="1852" spans="1:9" x14ac:dyDescent="0.3">
      <c r="A1852" s="2"/>
      <c r="H1852" s="3"/>
      <c r="I1852" s="3"/>
    </row>
    <row r="1853" spans="1:9" x14ac:dyDescent="0.3">
      <c r="A1853" s="2"/>
      <c r="H1853" s="3"/>
      <c r="I1853" s="3"/>
    </row>
    <row r="1854" spans="1:9" x14ac:dyDescent="0.3">
      <c r="A1854" s="2"/>
      <c r="H1854" s="3"/>
      <c r="I1854" s="3"/>
    </row>
    <row r="1855" spans="1:9" x14ac:dyDescent="0.3">
      <c r="A1855" s="2"/>
      <c r="H1855" s="3"/>
      <c r="I1855" s="3"/>
    </row>
    <row r="1856" spans="1:9" x14ac:dyDescent="0.3">
      <c r="A1856" s="2"/>
      <c r="H1856" s="3"/>
      <c r="I1856" s="3"/>
    </row>
    <row r="1857" spans="1:9" x14ac:dyDescent="0.3">
      <c r="A1857" s="2"/>
      <c r="H1857" s="3"/>
      <c r="I1857" s="3"/>
    </row>
    <row r="1858" spans="1:9" x14ac:dyDescent="0.3">
      <c r="A1858" s="2"/>
      <c r="H1858" s="3"/>
      <c r="I1858" s="3"/>
    </row>
    <row r="1859" spans="1:9" x14ac:dyDescent="0.3">
      <c r="A1859" s="2"/>
      <c r="H1859" s="3"/>
      <c r="I1859" s="3"/>
    </row>
    <row r="1860" spans="1:9" x14ac:dyDescent="0.3">
      <c r="A1860" s="2"/>
      <c r="H1860" s="3"/>
      <c r="I1860" s="3"/>
    </row>
    <row r="1861" spans="1:9" x14ac:dyDescent="0.3">
      <c r="A1861" s="2"/>
      <c r="H1861" s="3"/>
      <c r="I1861" s="3"/>
    </row>
    <row r="1862" spans="1:9" x14ac:dyDescent="0.3">
      <c r="A1862" s="2"/>
      <c r="H1862" s="3"/>
      <c r="I1862" s="3"/>
    </row>
    <row r="1863" spans="1:9" x14ac:dyDescent="0.3">
      <c r="A1863" s="2"/>
      <c r="H1863" s="3"/>
      <c r="I1863" s="3"/>
    </row>
    <row r="1864" spans="1:9" x14ac:dyDescent="0.3">
      <c r="A1864" s="2"/>
      <c r="H1864" s="3"/>
      <c r="I1864" s="3"/>
    </row>
    <row r="1865" spans="1:9" x14ac:dyDescent="0.3">
      <c r="A1865" s="2"/>
      <c r="H1865" s="3"/>
      <c r="I1865" s="3"/>
    </row>
    <row r="1866" spans="1:9" x14ac:dyDescent="0.3">
      <c r="A1866" s="2"/>
      <c r="H1866" s="3"/>
      <c r="I1866" s="3"/>
    </row>
    <row r="1867" spans="1:9" x14ac:dyDescent="0.3">
      <c r="A1867" s="2"/>
      <c r="H1867" s="3"/>
      <c r="I1867" s="3"/>
    </row>
    <row r="1868" spans="1:9" x14ac:dyDescent="0.3">
      <c r="A1868" s="2"/>
      <c r="H1868" s="3"/>
      <c r="I1868" s="3"/>
    </row>
    <row r="1869" spans="1:9" x14ac:dyDescent="0.3">
      <c r="A1869" s="2"/>
      <c r="H1869" s="3"/>
      <c r="I1869" s="3"/>
    </row>
    <row r="1870" spans="1:9" x14ac:dyDescent="0.3">
      <c r="A1870" s="2"/>
      <c r="H1870" s="3"/>
      <c r="I1870" s="3"/>
    </row>
    <row r="1871" spans="1:9" x14ac:dyDescent="0.3">
      <c r="A1871" s="2"/>
      <c r="H1871" s="3"/>
      <c r="I1871" s="3"/>
    </row>
    <row r="1872" spans="1:9" x14ac:dyDescent="0.3">
      <c r="A1872" s="2"/>
      <c r="H1872" s="3"/>
      <c r="I1872" s="3"/>
    </row>
    <row r="1873" spans="1:9" x14ac:dyDescent="0.3">
      <c r="A1873" s="2"/>
      <c r="H1873" s="3"/>
      <c r="I1873" s="3"/>
    </row>
    <row r="1874" spans="1:9" x14ac:dyDescent="0.3">
      <c r="A1874" s="2"/>
      <c r="H1874" s="3"/>
      <c r="I1874" s="3"/>
    </row>
    <row r="1875" spans="1:9" x14ac:dyDescent="0.3">
      <c r="A1875" s="2"/>
      <c r="H1875" s="3"/>
      <c r="I1875" s="3"/>
    </row>
    <row r="1876" spans="1:9" x14ac:dyDescent="0.3">
      <c r="A1876" s="2"/>
      <c r="H1876" s="3"/>
      <c r="I1876" s="3"/>
    </row>
    <row r="1877" spans="1:9" x14ac:dyDescent="0.3">
      <c r="A1877" s="2"/>
      <c r="H1877" s="3"/>
      <c r="I1877" s="3"/>
    </row>
    <row r="1878" spans="1:9" x14ac:dyDescent="0.3">
      <c r="A1878" s="2"/>
      <c r="H1878" s="3"/>
      <c r="I1878" s="3"/>
    </row>
    <row r="1879" spans="1:9" x14ac:dyDescent="0.3">
      <c r="A1879" s="2"/>
      <c r="H1879" s="3"/>
      <c r="I1879" s="3"/>
    </row>
    <row r="1880" spans="1:9" x14ac:dyDescent="0.3">
      <c r="A1880" s="2"/>
      <c r="H1880" s="3"/>
      <c r="I1880" s="3"/>
    </row>
    <row r="1881" spans="1:9" x14ac:dyDescent="0.3">
      <c r="A1881" s="2"/>
      <c r="H1881" s="3"/>
      <c r="I1881" s="3"/>
    </row>
    <row r="1882" spans="1:9" x14ac:dyDescent="0.3">
      <c r="A1882" s="2"/>
      <c r="H1882" s="3"/>
      <c r="I1882" s="3"/>
    </row>
    <row r="1883" spans="1:9" x14ac:dyDescent="0.3">
      <c r="A1883" s="2"/>
      <c r="H1883" s="3"/>
      <c r="I1883" s="3"/>
    </row>
    <row r="1884" spans="1:9" x14ac:dyDescent="0.3">
      <c r="A1884" s="2"/>
      <c r="H1884" s="3"/>
      <c r="I1884" s="3"/>
    </row>
    <row r="1885" spans="1:9" x14ac:dyDescent="0.3">
      <c r="A1885" s="2"/>
      <c r="H1885" s="3"/>
      <c r="I1885" s="3"/>
    </row>
    <row r="1886" spans="1:9" x14ac:dyDescent="0.3">
      <c r="A1886" s="2"/>
      <c r="H1886" s="3"/>
      <c r="I1886" s="3"/>
    </row>
    <row r="1887" spans="1:9" x14ac:dyDescent="0.3">
      <c r="A1887" s="2"/>
      <c r="H1887" s="3"/>
      <c r="I1887" s="3"/>
    </row>
    <row r="1888" spans="1:9" x14ac:dyDescent="0.3">
      <c r="A1888" s="2"/>
      <c r="H1888" s="3"/>
      <c r="I1888" s="3"/>
    </row>
    <row r="1889" spans="1:9" x14ac:dyDescent="0.3">
      <c r="A1889" s="2"/>
      <c r="H1889" s="3"/>
      <c r="I1889" s="3"/>
    </row>
    <row r="1890" spans="1:9" x14ac:dyDescent="0.3">
      <c r="A1890" s="2"/>
      <c r="H1890" s="3"/>
      <c r="I1890" s="3"/>
    </row>
    <row r="1891" spans="1:9" x14ac:dyDescent="0.3">
      <c r="A1891" s="2"/>
      <c r="H1891" s="3"/>
      <c r="I1891" s="3"/>
    </row>
    <row r="1892" spans="1:9" x14ac:dyDescent="0.3">
      <c r="A1892" s="2"/>
      <c r="H1892" s="3"/>
      <c r="I1892" s="3"/>
    </row>
    <row r="1893" spans="1:9" x14ac:dyDescent="0.3">
      <c r="A1893" s="2"/>
      <c r="H1893" s="3"/>
      <c r="I1893" s="3"/>
    </row>
    <row r="1894" spans="1:9" x14ac:dyDescent="0.3">
      <c r="A1894" s="2"/>
      <c r="H1894" s="3"/>
      <c r="I1894" s="3"/>
    </row>
    <row r="1895" spans="1:9" x14ac:dyDescent="0.3">
      <c r="A1895" s="2"/>
      <c r="H1895" s="3"/>
      <c r="I1895" s="3"/>
    </row>
    <row r="1896" spans="1:9" x14ac:dyDescent="0.3">
      <c r="A1896" s="2"/>
      <c r="H1896" s="3"/>
      <c r="I1896" s="3"/>
    </row>
    <row r="1897" spans="1:9" x14ac:dyDescent="0.3">
      <c r="A1897" s="2"/>
      <c r="H1897" s="3"/>
      <c r="I1897" s="3"/>
    </row>
    <row r="1898" spans="1:9" x14ac:dyDescent="0.3">
      <c r="A1898" s="2"/>
      <c r="H1898" s="3"/>
      <c r="I1898" s="3"/>
    </row>
    <row r="1899" spans="1:9" x14ac:dyDescent="0.3">
      <c r="A1899" s="2"/>
      <c r="H1899" s="3"/>
      <c r="I1899" s="3"/>
    </row>
    <row r="1900" spans="1:9" x14ac:dyDescent="0.3">
      <c r="A1900" s="2"/>
      <c r="H1900" s="3"/>
      <c r="I1900" s="3"/>
    </row>
    <row r="1901" spans="1:9" x14ac:dyDescent="0.3">
      <c r="A1901" s="2"/>
      <c r="H1901" s="3"/>
      <c r="I1901" s="3"/>
    </row>
    <row r="1902" spans="1:9" x14ac:dyDescent="0.3">
      <c r="A1902" s="2"/>
      <c r="H1902" s="3"/>
      <c r="I1902" s="3"/>
    </row>
    <row r="1903" spans="1:9" x14ac:dyDescent="0.3">
      <c r="A1903" s="2"/>
      <c r="H1903" s="3"/>
      <c r="I1903" s="3"/>
    </row>
    <row r="1904" spans="1:9" x14ac:dyDescent="0.3">
      <c r="A1904" s="2"/>
      <c r="H1904" s="3"/>
      <c r="I1904" s="3"/>
    </row>
    <row r="1905" spans="1:9" x14ac:dyDescent="0.3">
      <c r="A1905" s="2"/>
      <c r="H1905" s="3"/>
      <c r="I1905" s="3"/>
    </row>
    <row r="1906" spans="1:9" x14ac:dyDescent="0.3">
      <c r="A1906" s="2"/>
      <c r="H1906" s="3"/>
      <c r="I1906" s="3"/>
    </row>
    <row r="1907" spans="1:9" x14ac:dyDescent="0.3">
      <c r="A1907" s="2"/>
      <c r="H1907" s="3"/>
      <c r="I1907" s="3"/>
    </row>
    <row r="1908" spans="1:9" x14ac:dyDescent="0.3">
      <c r="A1908" s="2"/>
      <c r="H1908" s="3"/>
      <c r="I1908" s="3"/>
    </row>
    <row r="1909" spans="1:9" x14ac:dyDescent="0.3">
      <c r="A1909" s="2"/>
      <c r="H1909" s="3"/>
      <c r="I1909" s="3"/>
    </row>
    <row r="1910" spans="1:9" x14ac:dyDescent="0.3">
      <c r="A1910" s="2"/>
      <c r="H1910" s="3"/>
      <c r="I1910" s="3"/>
    </row>
    <row r="1911" spans="1:9" x14ac:dyDescent="0.3">
      <c r="A1911" s="2"/>
      <c r="H1911" s="3"/>
      <c r="I1911" s="3"/>
    </row>
    <row r="1912" spans="1:9" x14ac:dyDescent="0.3">
      <c r="A1912" s="2"/>
      <c r="H1912" s="3"/>
      <c r="I1912" s="3"/>
    </row>
    <row r="1913" spans="1:9" x14ac:dyDescent="0.3">
      <c r="A1913" s="2"/>
      <c r="H1913" s="3"/>
      <c r="I1913" s="3"/>
    </row>
    <row r="1914" spans="1:9" x14ac:dyDescent="0.3">
      <c r="A1914" s="2"/>
      <c r="H1914" s="3"/>
      <c r="I1914" s="3"/>
    </row>
    <row r="1915" spans="1:9" x14ac:dyDescent="0.3">
      <c r="A1915" s="2"/>
      <c r="H1915" s="3"/>
      <c r="I1915" s="3"/>
    </row>
    <row r="1916" spans="1:9" x14ac:dyDescent="0.3">
      <c r="A1916" s="2"/>
      <c r="H1916" s="3"/>
      <c r="I1916" s="3"/>
    </row>
    <row r="1917" spans="1:9" x14ac:dyDescent="0.3">
      <c r="A1917" s="2"/>
      <c r="H1917" s="3"/>
      <c r="I1917" s="3"/>
    </row>
    <row r="1918" spans="1:9" x14ac:dyDescent="0.3">
      <c r="A1918" s="2"/>
      <c r="H1918" s="3"/>
      <c r="I1918" s="3"/>
    </row>
    <row r="1919" spans="1:9" x14ac:dyDescent="0.3">
      <c r="A1919" s="2"/>
      <c r="H1919" s="3"/>
      <c r="I1919" s="3"/>
    </row>
    <row r="1920" spans="1:9" x14ac:dyDescent="0.3">
      <c r="A1920" s="2"/>
      <c r="H1920" s="3"/>
      <c r="I1920" s="3"/>
    </row>
    <row r="1921" spans="1:9" x14ac:dyDescent="0.3">
      <c r="A1921" s="2"/>
      <c r="H1921" s="3"/>
      <c r="I1921" s="3"/>
    </row>
    <row r="1922" spans="1:9" x14ac:dyDescent="0.3">
      <c r="A1922" s="2"/>
      <c r="H1922" s="3"/>
      <c r="I1922" s="3"/>
    </row>
    <row r="1923" spans="1:9" x14ac:dyDescent="0.3">
      <c r="A1923" s="2"/>
      <c r="H1923" s="3"/>
      <c r="I1923" s="3"/>
    </row>
    <row r="1924" spans="1:9" x14ac:dyDescent="0.3">
      <c r="A1924" s="2"/>
      <c r="H1924" s="3"/>
      <c r="I1924" s="3"/>
    </row>
    <row r="1925" spans="1:9" x14ac:dyDescent="0.3">
      <c r="A1925" s="2"/>
      <c r="H1925" s="3"/>
      <c r="I1925" s="3"/>
    </row>
    <row r="1926" spans="1:9" x14ac:dyDescent="0.3">
      <c r="A1926" s="2"/>
      <c r="H1926" s="3"/>
      <c r="I1926" s="3"/>
    </row>
    <row r="1927" spans="1:9" x14ac:dyDescent="0.3">
      <c r="A1927" s="2"/>
      <c r="H1927" s="3"/>
      <c r="I1927" s="3"/>
    </row>
    <row r="1928" spans="1:9" x14ac:dyDescent="0.3">
      <c r="A1928" s="2"/>
      <c r="H1928" s="3"/>
      <c r="I1928" s="3"/>
    </row>
    <row r="1929" spans="1:9" x14ac:dyDescent="0.3">
      <c r="A1929" s="2"/>
      <c r="H1929" s="3"/>
      <c r="I1929" s="3"/>
    </row>
    <row r="1930" spans="1:9" x14ac:dyDescent="0.3">
      <c r="A1930" s="2"/>
      <c r="H1930" s="3"/>
      <c r="I1930" s="3"/>
    </row>
    <row r="1931" spans="1:9" x14ac:dyDescent="0.3">
      <c r="A1931" s="2"/>
      <c r="H1931" s="3"/>
      <c r="I1931" s="3"/>
    </row>
    <row r="1932" spans="1:9" x14ac:dyDescent="0.3">
      <c r="A1932" s="2"/>
      <c r="H1932" s="3"/>
      <c r="I1932" s="3"/>
    </row>
    <row r="1933" spans="1:9" x14ac:dyDescent="0.3">
      <c r="A1933" s="2"/>
      <c r="H1933" s="3"/>
      <c r="I1933" s="3"/>
    </row>
    <row r="1934" spans="1:9" x14ac:dyDescent="0.3">
      <c r="A1934" s="2"/>
      <c r="H1934" s="3"/>
      <c r="I1934" s="3"/>
    </row>
    <row r="1935" spans="1:9" x14ac:dyDescent="0.3">
      <c r="A1935" s="2"/>
      <c r="H1935" s="3"/>
      <c r="I1935" s="3"/>
    </row>
    <row r="1936" spans="1:9" x14ac:dyDescent="0.3">
      <c r="A1936" s="2"/>
      <c r="H1936" s="3"/>
      <c r="I1936" s="3"/>
    </row>
    <row r="1937" spans="1:9" x14ac:dyDescent="0.3">
      <c r="A1937" s="2"/>
      <c r="H1937" s="3"/>
      <c r="I1937" s="3"/>
    </row>
    <row r="1938" spans="1:9" x14ac:dyDescent="0.3">
      <c r="A1938" s="2"/>
      <c r="H1938" s="3"/>
      <c r="I1938" s="3"/>
    </row>
    <row r="1939" spans="1:9" x14ac:dyDescent="0.3">
      <c r="A1939" s="2"/>
      <c r="H1939" s="3"/>
      <c r="I1939" s="3"/>
    </row>
    <row r="1940" spans="1:9" x14ac:dyDescent="0.3">
      <c r="A1940" s="2"/>
      <c r="H1940" s="3"/>
      <c r="I1940" s="3"/>
    </row>
    <row r="1941" spans="1:9" x14ac:dyDescent="0.3">
      <c r="A1941" s="2"/>
      <c r="H1941" s="3"/>
      <c r="I1941" s="3"/>
    </row>
    <row r="1942" spans="1:9" x14ac:dyDescent="0.3">
      <c r="A1942" s="2"/>
      <c r="H1942" s="3"/>
      <c r="I1942" s="3"/>
    </row>
    <row r="1943" spans="1:9" x14ac:dyDescent="0.3">
      <c r="A1943" s="2"/>
      <c r="H1943" s="3"/>
      <c r="I1943" s="3"/>
    </row>
    <row r="1944" spans="1:9" x14ac:dyDescent="0.3">
      <c r="A1944" s="2"/>
      <c r="H1944" s="3"/>
      <c r="I1944" s="3"/>
    </row>
    <row r="1945" spans="1:9" x14ac:dyDescent="0.3">
      <c r="A1945" s="2"/>
      <c r="H1945" s="3"/>
      <c r="I1945" s="3"/>
    </row>
    <row r="1946" spans="1:9" x14ac:dyDescent="0.3">
      <c r="A1946" s="2"/>
      <c r="H1946" s="3"/>
      <c r="I1946" s="3"/>
    </row>
    <row r="1947" spans="1:9" x14ac:dyDescent="0.3">
      <c r="A1947" s="2"/>
      <c r="H1947" s="3"/>
      <c r="I1947" s="3"/>
    </row>
    <row r="1948" spans="1:9" x14ac:dyDescent="0.3">
      <c r="A1948" s="2"/>
      <c r="H1948" s="3"/>
      <c r="I1948" s="3"/>
    </row>
    <row r="1949" spans="1:9" x14ac:dyDescent="0.3">
      <c r="A1949" s="2"/>
      <c r="H1949" s="3"/>
      <c r="I1949" s="3"/>
    </row>
    <row r="1950" spans="1:9" x14ac:dyDescent="0.3">
      <c r="A1950" s="2"/>
      <c r="H1950" s="3"/>
      <c r="I1950" s="3"/>
    </row>
    <row r="1951" spans="1:9" x14ac:dyDescent="0.3">
      <c r="A1951" s="2"/>
      <c r="H1951" s="3"/>
      <c r="I1951" s="3"/>
    </row>
    <row r="1952" spans="1:9" x14ac:dyDescent="0.3">
      <c r="A1952" s="2"/>
      <c r="H1952" s="3"/>
      <c r="I1952" s="3"/>
    </row>
    <row r="1953" spans="1:9" x14ac:dyDescent="0.3">
      <c r="A1953" s="2"/>
      <c r="H1953" s="3"/>
      <c r="I1953" s="3"/>
    </row>
    <row r="1954" spans="1:9" x14ac:dyDescent="0.3">
      <c r="A1954" s="2"/>
      <c r="H1954" s="3"/>
      <c r="I1954" s="3"/>
    </row>
    <row r="1955" spans="1:9" x14ac:dyDescent="0.3">
      <c r="A1955" s="2"/>
      <c r="H1955" s="3"/>
      <c r="I1955" s="3"/>
    </row>
    <row r="1956" spans="1:9" x14ac:dyDescent="0.3">
      <c r="A1956" s="2"/>
      <c r="H1956" s="3"/>
      <c r="I1956" s="3"/>
    </row>
    <row r="1957" spans="1:9" x14ac:dyDescent="0.3">
      <c r="A1957" s="2"/>
      <c r="H1957" s="3"/>
      <c r="I1957" s="3"/>
    </row>
    <row r="1958" spans="1:9" x14ac:dyDescent="0.3">
      <c r="A1958" s="2"/>
      <c r="H1958" s="3"/>
      <c r="I1958" s="3"/>
    </row>
    <row r="1959" spans="1:9" x14ac:dyDescent="0.3">
      <c r="A1959" s="2"/>
      <c r="H1959" s="3"/>
      <c r="I1959" s="3"/>
    </row>
    <row r="1960" spans="1:9" x14ac:dyDescent="0.3">
      <c r="A1960" s="2"/>
      <c r="H1960" s="3"/>
      <c r="I1960" s="3"/>
    </row>
    <row r="1961" spans="1:9" x14ac:dyDescent="0.3">
      <c r="A1961" s="2"/>
      <c r="H1961" s="3"/>
      <c r="I1961" s="3"/>
    </row>
    <row r="1962" spans="1:9" x14ac:dyDescent="0.3">
      <c r="A1962" s="2"/>
      <c r="H1962" s="3"/>
      <c r="I1962" s="3"/>
    </row>
    <row r="1963" spans="1:9" x14ac:dyDescent="0.3">
      <c r="A1963" s="2"/>
      <c r="H1963" s="3"/>
      <c r="I1963" s="3"/>
    </row>
    <row r="1964" spans="1:9" x14ac:dyDescent="0.3">
      <c r="A1964" s="2"/>
      <c r="H1964" s="3"/>
      <c r="I1964" s="3"/>
    </row>
    <row r="1965" spans="1:9" x14ac:dyDescent="0.3">
      <c r="A1965" s="2"/>
      <c r="H1965" s="3"/>
      <c r="I1965" s="3"/>
    </row>
    <row r="1966" spans="1:9" x14ac:dyDescent="0.3">
      <c r="A1966" s="2"/>
      <c r="H1966" s="3"/>
      <c r="I1966" s="3"/>
    </row>
    <row r="1967" spans="1:9" x14ac:dyDescent="0.3">
      <c r="A1967" s="2"/>
      <c r="H1967" s="3"/>
      <c r="I1967" s="3"/>
    </row>
    <row r="1968" spans="1:9" x14ac:dyDescent="0.3">
      <c r="A1968" s="2"/>
      <c r="H1968" s="3"/>
      <c r="I1968" s="3"/>
    </row>
    <row r="1969" spans="1:9" x14ac:dyDescent="0.3">
      <c r="A1969" s="2"/>
      <c r="H1969" s="3"/>
      <c r="I1969" s="3"/>
    </row>
    <row r="1970" spans="1:9" x14ac:dyDescent="0.3">
      <c r="A1970" s="2"/>
      <c r="H1970" s="3"/>
      <c r="I1970" s="3"/>
    </row>
    <row r="1971" spans="1:9" x14ac:dyDescent="0.3">
      <c r="A1971" s="2"/>
      <c r="H1971" s="3"/>
      <c r="I1971" s="3"/>
    </row>
    <row r="1972" spans="1:9" x14ac:dyDescent="0.3">
      <c r="A1972" s="2"/>
      <c r="H1972" s="3"/>
      <c r="I1972" s="3"/>
    </row>
    <row r="1973" spans="1:9" x14ac:dyDescent="0.3">
      <c r="A1973" s="2"/>
      <c r="H1973" s="3"/>
      <c r="I1973" s="3"/>
    </row>
    <row r="1974" spans="1:9" x14ac:dyDescent="0.3">
      <c r="A1974" s="2"/>
      <c r="H1974" s="3"/>
      <c r="I1974" s="3"/>
    </row>
    <row r="1975" spans="1:9" x14ac:dyDescent="0.3">
      <c r="A1975" s="2"/>
      <c r="H1975" s="3"/>
      <c r="I1975" s="3"/>
    </row>
    <row r="1976" spans="1:9" x14ac:dyDescent="0.3">
      <c r="A1976" s="2"/>
      <c r="H1976" s="3"/>
      <c r="I1976" s="3"/>
    </row>
    <row r="1977" spans="1:9" x14ac:dyDescent="0.3">
      <c r="A1977" s="2"/>
      <c r="H1977" s="3"/>
      <c r="I1977" s="3"/>
    </row>
    <row r="1978" spans="1:9" x14ac:dyDescent="0.3">
      <c r="A1978" s="2"/>
      <c r="H1978" s="3"/>
      <c r="I1978" s="3"/>
    </row>
    <row r="1979" spans="1:9" x14ac:dyDescent="0.3">
      <c r="A1979" s="2"/>
      <c r="H1979" s="3"/>
      <c r="I1979" s="3"/>
    </row>
    <row r="1980" spans="1:9" x14ac:dyDescent="0.3">
      <c r="A1980" s="2"/>
      <c r="H1980" s="3"/>
      <c r="I1980" s="3"/>
    </row>
    <row r="1981" spans="1:9" x14ac:dyDescent="0.3">
      <c r="A1981" s="2"/>
      <c r="H1981" s="3"/>
      <c r="I1981" s="3"/>
    </row>
    <row r="1982" spans="1:9" x14ac:dyDescent="0.3">
      <c r="A1982" s="2"/>
      <c r="H1982" s="3"/>
      <c r="I1982" s="3"/>
    </row>
    <row r="1983" spans="1:9" x14ac:dyDescent="0.3">
      <c r="A1983" s="2"/>
      <c r="H1983" s="3"/>
      <c r="I1983" s="3"/>
    </row>
    <row r="1984" spans="1:9" x14ac:dyDescent="0.3">
      <c r="A1984" s="2"/>
      <c r="H1984" s="3"/>
      <c r="I1984" s="3"/>
    </row>
    <row r="1985" spans="1:9" x14ac:dyDescent="0.3">
      <c r="A1985" s="2"/>
      <c r="H1985" s="3"/>
      <c r="I1985" s="3"/>
    </row>
    <row r="1986" spans="1:9" x14ac:dyDescent="0.3">
      <c r="A1986" s="2"/>
      <c r="H1986" s="3"/>
      <c r="I1986" s="3"/>
    </row>
    <row r="1987" spans="1:9" x14ac:dyDescent="0.3">
      <c r="A1987" s="2"/>
      <c r="H1987" s="3"/>
      <c r="I1987" s="3"/>
    </row>
    <row r="1988" spans="1:9" x14ac:dyDescent="0.3">
      <c r="A1988" s="2"/>
      <c r="H1988" s="3"/>
      <c r="I1988" s="3"/>
    </row>
    <row r="1989" spans="1:9" x14ac:dyDescent="0.3">
      <c r="A1989" s="2"/>
      <c r="H1989" s="3"/>
      <c r="I1989" s="3"/>
    </row>
    <row r="1990" spans="1:9" x14ac:dyDescent="0.3">
      <c r="A1990" s="2"/>
      <c r="H1990" s="3"/>
      <c r="I1990" s="3"/>
    </row>
    <row r="1991" spans="1:9" x14ac:dyDescent="0.3">
      <c r="A1991" s="2"/>
      <c r="H1991" s="3"/>
      <c r="I1991" s="3"/>
    </row>
    <row r="1992" spans="1:9" x14ac:dyDescent="0.3">
      <c r="A1992" s="2"/>
      <c r="H1992" s="3"/>
      <c r="I1992" s="3"/>
    </row>
    <row r="1993" spans="1:9" x14ac:dyDescent="0.3">
      <c r="A1993" s="2"/>
      <c r="H1993" s="3"/>
      <c r="I1993" s="3"/>
    </row>
    <row r="1994" spans="1:9" x14ac:dyDescent="0.3">
      <c r="A1994" s="2"/>
      <c r="H1994" s="3"/>
      <c r="I1994" s="3"/>
    </row>
    <row r="1995" spans="1:9" x14ac:dyDescent="0.3">
      <c r="A1995" s="2"/>
      <c r="H1995" s="3"/>
      <c r="I1995" s="3"/>
    </row>
    <row r="1996" spans="1:9" x14ac:dyDescent="0.3">
      <c r="A1996" s="2"/>
      <c r="H1996" s="3"/>
      <c r="I1996" s="3"/>
    </row>
    <row r="1997" spans="1:9" x14ac:dyDescent="0.3">
      <c r="A1997" s="2"/>
      <c r="H1997" s="3"/>
      <c r="I1997" s="3"/>
    </row>
    <row r="1998" spans="1:9" x14ac:dyDescent="0.3">
      <c r="A1998" s="2"/>
      <c r="H1998" s="3"/>
      <c r="I1998" s="3"/>
    </row>
    <row r="1999" spans="1:9" x14ac:dyDescent="0.3">
      <c r="A1999" s="2"/>
      <c r="H1999" s="3"/>
      <c r="I1999" s="3"/>
    </row>
    <row r="2000" spans="1:9" x14ac:dyDescent="0.3">
      <c r="A2000" s="2"/>
      <c r="H2000" s="3"/>
      <c r="I2000" s="3"/>
    </row>
    <row r="2001" spans="1:9" x14ac:dyDescent="0.3">
      <c r="A2001" s="2"/>
      <c r="H2001" s="3"/>
      <c r="I2001" s="3"/>
    </row>
    <row r="2002" spans="1:9" x14ac:dyDescent="0.3">
      <c r="A2002" s="2"/>
      <c r="H2002" s="3"/>
      <c r="I2002" s="3"/>
    </row>
    <row r="2003" spans="1:9" x14ac:dyDescent="0.3">
      <c r="A2003" s="2"/>
      <c r="H2003" s="3"/>
      <c r="I2003" s="3"/>
    </row>
    <row r="2004" spans="1:9" x14ac:dyDescent="0.3">
      <c r="A2004" s="2"/>
      <c r="H2004" s="3"/>
      <c r="I2004" s="3"/>
    </row>
    <row r="2005" spans="1:9" x14ac:dyDescent="0.3">
      <c r="A2005" s="2"/>
      <c r="H2005" s="3"/>
      <c r="I2005" s="3"/>
    </row>
    <row r="2006" spans="1:9" x14ac:dyDescent="0.3">
      <c r="A2006" s="2"/>
      <c r="H2006" s="3"/>
      <c r="I2006" s="3"/>
    </row>
    <row r="2007" spans="1:9" x14ac:dyDescent="0.3">
      <c r="A2007" s="2"/>
      <c r="H2007" s="3"/>
      <c r="I2007" s="3"/>
    </row>
    <row r="2008" spans="1:9" x14ac:dyDescent="0.3">
      <c r="A2008" s="2"/>
      <c r="H2008" s="3"/>
      <c r="I2008" s="3"/>
    </row>
    <row r="2009" spans="1:9" x14ac:dyDescent="0.3">
      <c r="A2009" s="2"/>
      <c r="H2009" s="3"/>
      <c r="I2009" s="3"/>
    </row>
    <row r="2010" spans="1:9" x14ac:dyDescent="0.3">
      <c r="A2010" s="2"/>
      <c r="H2010" s="3"/>
      <c r="I2010" s="3"/>
    </row>
    <row r="2011" spans="1:9" x14ac:dyDescent="0.3">
      <c r="A2011" s="2"/>
      <c r="H2011" s="3"/>
      <c r="I2011" s="3"/>
    </row>
    <row r="2012" spans="1:9" x14ac:dyDescent="0.3">
      <c r="A2012" s="2"/>
      <c r="H2012" s="3"/>
      <c r="I2012" s="3"/>
    </row>
    <row r="2013" spans="1:9" x14ac:dyDescent="0.3">
      <c r="A2013" s="2"/>
      <c r="H2013" s="3"/>
      <c r="I2013" s="3"/>
    </row>
    <row r="2014" spans="1:9" x14ac:dyDescent="0.3">
      <c r="A2014" s="2"/>
      <c r="H2014" s="3"/>
      <c r="I2014" s="3"/>
    </row>
    <row r="2015" spans="1:9" x14ac:dyDescent="0.3">
      <c r="A2015" s="2"/>
      <c r="H2015" s="3"/>
      <c r="I2015" s="3"/>
    </row>
    <row r="2016" spans="1:9" x14ac:dyDescent="0.3">
      <c r="A2016" s="2"/>
      <c r="H2016" s="3"/>
      <c r="I2016" s="3"/>
    </row>
    <row r="2017" spans="1:9" x14ac:dyDescent="0.3">
      <c r="A2017" s="2"/>
      <c r="H2017" s="3"/>
      <c r="I2017" s="3"/>
    </row>
    <row r="2018" spans="1:9" x14ac:dyDescent="0.3">
      <c r="A2018" s="2"/>
      <c r="H2018" s="3"/>
      <c r="I2018" s="3"/>
    </row>
    <row r="2019" spans="1:9" x14ac:dyDescent="0.3">
      <c r="A2019" s="2"/>
      <c r="H2019" s="3"/>
      <c r="I2019" s="3"/>
    </row>
    <row r="2020" spans="1:9" x14ac:dyDescent="0.3">
      <c r="A2020" s="2"/>
      <c r="H2020" s="3"/>
      <c r="I2020" s="3"/>
    </row>
    <row r="2021" spans="1:9" x14ac:dyDescent="0.3">
      <c r="A2021" s="2"/>
      <c r="H2021" s="3"/>
      <c r="I2021" s="3"/>
    </row>
    <row r="2022" spans="1:9" x14ac:dyDescent="0.3">
      <c r="A2022" s="2"/>
      <c r="H2022" s="3"/>
      <c r="I2022" s="3"/>
    </row>
    <row r="2023" spans="1:9" x14ac:dyDescent="0.3">
      <c r="A2023" s="2"/>
      <c r="H2023" s="3"/>
      <c r="I2023" s="3"/>
    </row>
    <row r="2024" spans="1:9" x14ac:dyDescent="0.3">
      <c r="A2024" s="2"/>
      <c r="H2024" s="3"/>
      <c r="I2024" s="3"/>
    </row>
    <row r="2025" spans="1:9" x14ac:dyDescent="0.3">
      <c r="A2025" s="2"/>
      <c r="H2025" s="3"/>
      <c r="I2025" s="3"/>
    </row>
    <row r="2026" spans="1:9" x14ac:dyDescent="0.3">
      <c r="A2026" s="2"/>
      <c r="H2026" s="3"/>
      <c r="I2026" s="3"/>
    </row>
    <row r="2027" spans="1:9" x14ac:dyDescent="0.3">
      <c r="A2027" s="2"/>
      <c r="H2027" s="3"/>
      <c r="I2027" s="3"/>
    </row>
    <row r="2028" spans="1:9" x14ac:dyDescent="0.3">
      <c r="A2028" s="2"/>
      <c r="H2028" s="3"/>
      <c r="I2028" s="3"/>
    </row>
    <row r="2029" spans="1:9" x14ac:dyDescent="0.3">
      <c r="A2029" s="2"/>
      <c r="H2029" s="3"/>
      <c r="I2029" s="3"/>
    </row>
    <row r="2030" spans="1:9" x14ac:dyDescent="0.3">
      <c r="A2030" s="2"/>
      <c r="H2030" s="3"/>
      <c r="I2030" s="3"/>
    </row>
    <row r="2031" spans="1:9" x14ac:dyDescent="0.3">
      <c r="A2031" s="2"/>
      <c r="H2031" s="3"/>
      <c r="I2031" s="3"/>
    </row>
    <row r="2032" spans="1:9" x14ac:dyDescent="0.3">
      <c r="A2032" s="2"/>
      <c r="H2032" s="3"/>
      <c r="I2032" s="3"/>
    </row>
    <row r="2033" spans="1:9" x14ac:dyDescent="0.3">
      <c r="A2033" s="2"/>
      <c r="H2033" s="3"/>
      <c r="I2033" s="3"/>
    </row>
    <row r="2034" spans="1:9" x14ac:dyDescent="0.3">
      <c r="A2034" s="2"/>
      <c r="H2034" s="3"/>
      <c r="I2034" s="3"/>
    </row>
    <row r="2035" spans="1:9" x14ac:dyDescent="0.3">
      <c r="A2035" s="2"/>
      <c r="H2035" s="3"/>
      <c r="I2035" s="3"/>
    </row>
    <row r="2036" spans="1:9" x14ac:dyDescent="0.3">
      <c r="A2036" s="2"/>
      <c r="H2036" s="3"/>
      <c r="I2036" s="3"/>
    </row>
    <row r="2037" spans="1:9" x14ac:dyDescent="0.3">
      <c r="A2037" s="2"/>
      <c r="H2037" s="3"/>
      <c r="I2037" s="3"/>
    </row>
    <row r="2038" spans="1:9" x14ac:dyDescent="0.3">
      <c r="A2038" s="2"/>
      <c r="H2038" s="3"/>
      <c r="I2038" s="3"/>
    </row>
    <row r="2039" spans="1:9" x14ac:dyDescent="0.3">
      <c r="A2039" s="2"/>
      <c r="H2039" s="3"/>
      <c r="I2039" s="3"/>
    </row>
    <row r="2040" spans="1:9" x14ac:dyDescent="0.3">
      <c r="A2040" s="2"/>
      <c r="H2040" s="3"/>
      <c r="I2040" s="3"/>
    </row>
    <row r="2041" spans="1:9" x14ac:dyDescent="0.3">
      <c r="A2041" s="2"/>
      <c r="H2041" s="3"/>
      <c r="I2041" s="3"/>
    </row>
    <row r="2042" spans="1:9" x14ac:dyDescent="0.3">
      <c r="A2042" s="2"/>
      <c r="H2042" s="3"/>
      <c r="I2042" s="3"/>
    </row>
    <row r="2043" spans="1:9" x14ac:dyDescent="0.3">
      <c r="A2043" s="2"/>
      <c r="H2043" s="3"/>
      <c r="I2043" s="3"/>
    </row>
    <row r="2044" spans="1:9" x14ac:dyDescent="0.3">
      <c r="A2044" s="2"/>
      <c r="H2044" s="3"/>
      <c r="I2044" s="3"/>
    </row>
    <row r="2045" spans="1:9" x14ac:dyDescent="0.3">
      <c r="A2045" s="2"/>
      <c r="H2045" s="3"/>
      <c r="I2045" s="3"/>
    </row>
    <row r="2046" spans="1:9" x14ac:dyDescent="0.3">
      <c r="A2046" s="2"/>
      <c r="H2046" s="3"/>
      <c r="I2046" s="3"/>
    </row>
    <row r="2047" spans="1:9" x14ac:dyDescent="0.3">
      <c r="A2047" s="2"/>
      <c r="H2047" s="3"/>
      <c r="I2047" s="3"/>
    </row>
    <row r="2048" spans="1:9" x14ac:dyDescent="0.3">
      <c r="A2048" s="2"/>
      <c r="H2048" s="3"/>
      <c r="I2048" s="3"/>
    </row>
    <row r="2049" spans="1:9" x14ac:dyDescent="0.3">
      <c r="A2049" s="2"/>
      <c r="H2049" s="3"/>
      <c r="I2049" s="3"/>
    </row>
    <row r="2050" spans="1:9" x14ac:dyDescent="0.3">
      <c r="A2050" s="2"/>
      <c r="H2050" s="3"/>
      <c r="I2050" s="3"/>
    </row>
    <row r="2051" spans="1:9" x14ac:dyDescent="0.3">
      <c r="A2051" s="2"/>
      <c r="H2051" s="3"/>
      <c r="I2051" s="3"/>
    </row>
    <row r="2052" spans="1:9" x14ac:dyDescent="0.3">
      <c r="A2052" s="2"/>
      <c r="H2052" s="3"/>
      <c r="I2052" s="3"/>
    </row>
    <row r="2053" spans="1:9" x14ac:dyDescent="0.3">
      <c r="A2053" s="2"/>
      <c r="H2053" s="3"/>
      <c r="I2053" s="3"/>
    </row>
    <row r="2054" spans="1:9" x14ac:dyDescent="0.3">
      <c r="A2054" s="2"/>
      <c r="H2054" s="3"/>
      <c r="I2054" s="3"/>
    </row>
    <row r="2055" spans="1:9" x14ac:dyDescent="0.3">
      <c r="A2055" s="2"/>
      <c r="H2055" s="3"/>
      <c r="I2055" s="3"/>
    </row>
    <row r="2056" spans="1:9" x14ac:dyDescent="0.3">
      <c r="A2056" s="2"/>
      <c r="H2056" s="3"/>
      <c r="I2056" s="3"/>
    </row>
    <row r="2057" spans="1:9" x14ac:dyDescent="0.3">
      <c r="A2057" s="2"/>
      <c r="H2057" s="3"/>
      <c r="I2057" s="3"/>
    </row>
    <row r="2058" spans="1:9" x14ac:dyDescent="0.3">
      <c r="A2058" s="2"/>
      <c r="H2058" s="3"/>
      <c r="I2058" s="3"/>
    </row>
    <row r="2059" spans="1:9" x14ac:dyDescent="0.3">
      <c r="A2059" s="2"/>
      <c r="H2059" s="3"/>
      <c r="I2059" s="3"/>
    </row>
    <row r="2060" spans="1:9" x14ac:dyDescent="0.3">
      <c r="A2060" s="2"/>
      <c r="H2060" s="3"/>
      <c r="I2060" s="3"/>
    </row>
    <row r="2061" spans="1:9" x14ac:dyDescent="0.3">
      <c r="A2061" s="2"/>
      <c r="H2061" s="3"/>
      <c r="I2061" s="3"/>
    </row>
    <row r="2062" spans="1:9" x14ac:dyDescent="0.3">
      <c r="A2062" s="2"/>
      <c r="H2062" s="3"/>
      <c r="I2062" s="3"/>
    </row>
    <row r="2063" spans="1:9" x14ac:dyDescent="0.3">
      <c r="A2063" s="2"/>
      <c r="H2063" s="3"/>
      <c r="I2063" s="3"/>
    </row>
    <row r="2064" spans="1:9" x14ac:dyDescent="0.3">
      <c r="A2064" s="2"/>
      <c r="H2064" s="3"/>
      <c r="I2064" s="3"/>
    </row>
    <row r="2065" spans="1:9" x14ac:dyDescent="0.3">
      <c r="A2065" s="2"/>
      <c r="H2065" s="3"/>
      <c r="I2065" s="3"/>
    </row>
    <row r="2066" spans="1:9" x14ac:dyDescent="0.3">
      <c r="A2066" s="2"/>
      <c r="H2066" s="3"/>
      <c r="I2066" s="3"/>
    </row>
    <row r="2067" spans="1:9" x14ac:dyDescent="0.3">
      <c r="A2067" s="2"/>
      <c r="H2067" s="3"/>
      <c r="I2067" s="3"/>
    </row>
    <row r="2068" spans="1:9" x14ac:dyDescent="0.3">
      <c r="A2068" s="2"/>
      <c r="H2068" s="3"/>
      <c r="I2068" s="3"/>
    </row>
    <row r="2069" spans="1:9" x14ac:dyDescent="0.3">
      <c r="A2069" s="2"/>
      <c r="H2069" s="3"/>
      <c r="I2069" s="3"/>
    </row>
    <row r="2070" spans="1:9" x14ac:dyDescent="0.3">
      <c r="A2070" s="2"/>
      <c r="H2070" s="3"/>
      <c r="I2070" s="3"/>
    </row>
    <row r="2071" spans="1:9" x14ac:dyDescent="0.3">
      <c r="A2071" s="2"/>
      <c r="H2071" s="3"/>
      <c r="I2071" s="3"/>
    </row>
    <row r="2072" spans="1:9" x14ac:dyDescent="0.3">
      <c r="A2072" s="2"/>
      <c r="H2072" s="3"/>
      <c r="I2072" s="3"/>
    </row>
    <row r="2073" spans="1:9" x14ac:dyDescent="0.3">
      <c r="A2073" s="2"/>
      <c r="H2073" s="3"/>
      <c r="I2073" s="3"/>
    </row>
    <row r="2074" spans="1:9" x14ac:dyDescent="0.3">
      <c r="A2074" s="2"/>
      <c r="H2074" s="3"/>
      <c r="I2074" s="3"/>
    </row>
    <row r="2075" spans="1:9" x14ac:dyDescent="0.3">
      <c r="A2075" s="2"/>
      <c r="H2075" s="3"/>
      <c r="I2075" s="3"/>
    </row>
    <row r="2076" spans="1:9" x14ac:dyDescent="0.3">
      <c r="A2076" s="2"/>
      <c r="H2076" s="3"/>
      <c r="I2076" s="3"/>
    </row>
    <row r="2077" spans="1:9" x14ac:dyDescent="0.3">
      <c r="A2077" s="2"/>
      <c r="H2077" s="3"/>
      <c r="I2077" s="3"/>
    </row>
    <row r="2078" spans="1:9" x14ac:dyDescent="0.3">
      <c r="A2078" s="2"/>
      <c r="H2078" s="3"/>
      <c r="I2078" s="3"/>
    </row>
    <row r="2079" spans="1:9" x14ac:dyDescent="0.3">
      <c r="A2079" s="2"/>
      <c r="H2079" s="3"/>
      <c r="I2079" s="3"/>
    </row>
    <row r="2080" spans="1:9" x14ac:dyDescent="0.3">
      <c r="A2080" s="2"/>
      <c r="H2080" s="3"/>
      <c r="I2080" s="3"/>
    </row>
    <row r="2081" spans="1:9" x14ac:dyDescent="0.3">
      <c r="A2081" s="2"/>
      <c r="H2081" s="3"/>
      <c r="I2081" s="3"/>
    </row>
    <row r="2082" spans="1:9" x14ac:dyDescent="0.3">
      <c r="A2082" s="2"/>
      <c r="H2082" s="3"/>
      <c r="I2082" s="3"/>
    </row>
    <row r="2083" spans="1:9" x14ac:dyDescent="0.3">
      <c r="A2083" s="2"/>
      <c r="H2083" s="3"/>
      <c r="I2083" s="3"/>
    </row>
    <row r="2084" spans="1:9" x14ac:dyDescent="0.3">
      <c r="A2084" s="2"/>
      <c r="H2084" s="3"/>
      <c r="I2084" s="3"/>
    </row>
    <row r="2085" spans="1:9" x14ac:dyDescent="0.3">
      <c r="A2085" s="2"/>
      <c r="H2085" s="3"/>
      <c r="I2085" s="3"/>
    </row>
    <row r="2086" spans="1:9" x14ac:dyDescent="0.3">
      <c r="A2086" s="2"/>
      <c r="H2086" s="3"/>
      <c r="I2086" s="3"/>
    </row>
    <row r="2087" spans="1:9" x14ac:dyDescent="0.3">
      <c r="A2087" s="2"/>
      <c r="H2087" s="3"/>
      <c r="I2087" s="3"/>
    </row>
    <row r="2088" spans="1:9" x14ac:dyDescent="0.3">
      <c r="A2088" s="2"/>
      <c r="H2088" s="3"/>
      <c r="I2088" s="3"/>
    </row>
    <row r="2089" spans="1:9" x14ac:dyDescent="0.3">
      <c r="A2089" s="2"/>
      <c r="H2089" s="3"/>
      <c r="I2089" s="3"/>
    </row>
    <row r="2090" spans="1:9" x14ac:dyDescent="0.3">
      <c r="A2090" s="2"/>
      <c r="H2090" s="3"/>
      <c r="I2090" s="3"/>
    </row>
    <row r="2091" spans="1:9" x14ac:dyDescent="0.3">
      <c r="A2091" s="2"/>
      <c r="H2091" s="3"/>
      <c r="I2091" s="3"/>
    </row>
    <row r="2092" spans="1:9" x14ac:dyDescent="0.3">
      <c r="A2092" s="2"/>
      <c r="H2092" s="3"/>
      <c r="I2092" s="3"/>
    </row>
    <row r="2093" spans="1:9" x14ac:dyDescent="0.3">
      <c r="A2093" s="2"/>
      <c r="H2093" s="3"/>
      <c r="I2093" s="3"/>
    </row>
    <row r="2094" spans="1:9" x14ac:dyDescent="0.3">
      <c r="A2094" s="2"/>
      <c r="H2094" s="3"/>
      <c r="I2094" s="3"/>
    </row>
    <row r="2095" spans="1:9" x14ac:dyDescent="0.3">
      <c r="A2095" s="2"/>
      <c r="H2095" s="3"/>
      <c r="I2095" s="3"/>
    </row>
    <row r="2096" spans="1:9" x14ac:dyDescent="0.3">
      <c r="A2096" s="2"/>
      <c r="H2096" s="3"/>
      <c r="I2096" s="3"/>
    </row>
    <row r="2097" spans="1:9" x14ac:dyDescent="0.3">
      <c r="A2097" s="2"/>
      <c r="H2097" s="3"/>
      <c r="I2097" s="3"/>
    </row>
    <row r="2098" spans="1:9" x14ac:dyDescent="0.3">
      <c r="A2098" s="2"/>
      <c r="H2098" s="3"/>
      <c r="I2098" s="3"/>
    </row>
    <row r="2099" spans="1:9" x14ac:dyDescent="0.3">
      <c r="A2099" s="2"/>
      <c r="H2099" s="3"/>
      <c r="I2099" s="3"/>
    </row>
    <row r="2100" spans="1:9" x14ac:dyDescent="0.3">
      <c r="A2100" s="2"/>
      <c r="H2100" s="3"/>
      <c r="I2100" s="3"/>
    </row>
    <row r="2101" spans="1:9" x14ac:dyDescent="0.3">
      <c r="A2101" s="2"/>
      <c r="H2101" s="3"/>
      <c r="I2101" s="3"/>
    </row>
    <row r="2102" spans="1:9" x14ac:dyDescent="0.3">
      <c r="A2102" s="2"/>
      <c r="H2102" s="3"/>
      <c r="I2102" s="3"/>
    </row>
    <row r="2103" spans="1:9" x14ac:dyDescent="0.3">
      <c r="A2103" s="2"/>
      <c r="H2103" s="3"/>
      <c r="I2103" s="3"/>
    </row>
    <row r="2104" spans="1:9" x14ac:dyDescent="0.3">
      <c r="A2104" s="2"/>
      <c r="H2104" s="3"/>
      <c r="I2104" s="3"/>
    </row>
    <row r="2105" spans="1:9" x14ac:dyDescent="0.3">
      <c r="A2105" s="2"/>
      <c r="H2105" s="3"/>
      <c r="I2105" s="3"/>
    </row>
    <row r="2106" spans="1:9" x14ac:dyDescent="0.3">
      <c r="A2106" s="2"/>
      <c r="H2106" s="3"/>
      <c r="I2106" s="3"/>
    </row>
    <row r="2107" spans="1:9" x14ac:dyDescent="0.3">
      <c r="A2107" s="2"/>
      <c r="H2107" s="3"/>
      <c r="I2107" s="3"/>
    </row>
    <row r="2108" spans="1:9" x14ac:dyDescent="0.3">
      <c r="A2108" s="2"/>
      <c r="H2108" s="3"/>
      <c r="I2108" s="3"/>
    </row>
    <row r="2109" spans="1:9" x14ac:dyDescent="0.3">
      <c r="A2109" s="2"/>
      <c r="H2109" s="3"/>
      <c r="I2109" s="3"/>
    </row>
    <row r="2110" spans="1:9" x14ac:dyDescent="0.3">
      <c r="A2110" s="2"/>
      <c r="H2110" s="3"/>
      <c r="I2110" s="3"/>
    </row>
    <row r="2111" spans="1:9" x14ac:dyDescent="0.3">
      <c r="A2111" s="2"/>
      <c r="H2111" s="3"/>
      <c r="I2111" s="3"/>
    </row>
    <row r="2112" spans="1:9" x14ac:dyDescent="0.3">
      <c r="A2112" s="2"/>
      <c r="H2112" s="3"/>
      <c r="I2112" s="3"/>
    </row>
    <row r="2113" spans="1:9" x14ac:dyDescent="0.3">
      <c r="A2113" s="2"/>
      <c r="H2113" s="3"/>
      <c r="I2113" s="3"/>
    </row>
    <row r="2114" spans="1:9" x14ac:dyDescent="0.3">
      <c r="A2114" s="2"/>
      <c r="H2114" s="3"/>
      <c r="I2114" s="3"/>
    </row>
    <row r="2115" spans="1:9" x14ac:dyDescent="0.3">
      <c r="A2115" s="2"/>
      <c r="H2115" s="3"/>
      <c r="I2115" s="3"/>
    </row>
    <row r="2116" spans="1:9" x14ac:dyDescent="0.3">
      <c r="A2116" s="2"/>
      <c r="H2116" s="3"/>
      <c r="I2116" s="3"/>
    </row>
    <row r="2117" spans="1:9" x14ac:dyDescent="0.3">
      <c r="A2117" s="2"/>
      <c r="H2117" s="3"/>
      <c r="I2117" s="3"/>
    </row>
    <row r="2118" spans="1:9" x14ac:dyDescent="0.3">
      <c r="A2118" s="2"/>
      <c r="H2118" s="3"/>
      <c r="I2118" s="3"/>
    </row>
    <row r="2119" spans="1:9" x14ac:dyDescent="0.3">
      <c r="A2119" s="2"/>
      <c r="H2119" s="3"/>
      <c r="I2119" s="3"/>
    </row>
    <row r="2120" spans="1:9" x14ac:dyDescent="0.3">
      <c r="A2120" s="2"/>
      <c r="H2120" s="3"/>
      <c r="I2120" s="3"/>
    </row>
    <row r="2121" spans="1:9" x14ac:dyDescent="0.3">
      <c r="A2121" s="2"/>
      <c r="H2121" s="3"/>
      <c r="I2121" s="3"/>
    </row>
    <row r="2122" spans="1:9" x14ac:dyDescent="0.3">
      <c r="A2122" s="2"/>
      <c r="H2122" s="3"/>
      <c r="I2122" s="3"/>
    </row>
    <row r="2123" spans="1:9" x14ac:dyDescent="0.3">
      <c r="A2123" s="2"/>
      <c r="H2123" s="3"/>
      <c r="I2123" s="3"/>
    </row>
    <row r="2124" spans="1:9" x14ac:dyDescent="0.3">
      <c r="A2124" s="2"/>
      <c r="H2124" s="3"/>
      <c r="I2124" s="3"/>
    </row>
    <row r="2125" spans="1:9" x14ac:dyDescent="0.3">
      <c r="A2125" s="2"/>
      <c r="H2125" s="3"/>
      <c r="I2125" s="3"/>
    </row>
    <row r="2126" spans="1:9" x14ac:dyDescent="0.3">
      <c r="A2126" s="2"/>
      <c r="H2126" s="3"/>
      <c r="I2126" s="3"/>
    </row>
    <row r="2127" spans="1:9" x14ac:dyDescent="0.3">
      <c r="A2127" s="2"/>
      <c r="H2127" s="3"/>
      <c r="I2127" s="3"/>
    </row>
    <row r="2128" spans="1:9" x14ac:dyDescent="0.3">
      <c r="A2128" s="2"/>
      <c r="H2128" s="3"/>
      <c r="I2128" s="3"/>
    </row>
    <row r="2129" spans="1:9" x14ac:dyDescent="0.3">
      <c r="A2129" s="2"/>
      <c r="H2129" s="3"/>
      <c r="I2129" s="3"/>
    </row>
    <row r="2130" spans="1:9" x14ac:dyDescent="0.3">
      <c r="A2130" s="2"/>
      <c r="H2130" s="3"/>
      <c r="I2130" s="3"/>
    </row>
    <row r="2131" spans="1:9" x14ac:dyDescent="0.3">
      <c r="A2131" s="2"/>
      <c r="H2131" s="3"/>
      <c r="I2131" s="3"/>
    </row>
    <row r="2132" spans="1:9" x14ac:dyDescent="0.3">
      <c r="A2132" s="2"/>
      <c r="H2132" s="3"/>
      <c r="I2132" s="3"/>
    </row>
    <row r="2133" spans="1:9" x14ac:dyDescent="0.3">
      <c r="A2133" s="2"/>
      <c r="H2133" s="3"/>
      <c r="I2133" s="3"/>
    </row>
    <row r="2134" spans="1:9" x14ac:dyDescent="0.3">
      <c r="A2134" s="2"/>
      <c r="H2134" s="3"/>
      <c r="I2134" s="3"/>
    </row>
    <row r="2135" spans="1:9" x14ac:dyDescent="0.3">
      <c r="A2135" s="2"/>
      <c r="H2135" s="3"/>
      <c r="I2135" s="3"/>
    </row>
    <row r="2136" spans="1:9" x14ac:dyDescent="0.3">
      <c r="A2136" s="2"/>
      <c r="H2136" s="3"/>
      <c r="I2136" s="3"/>
    </row>
    <row r="2137" spans="1:9" x14ac:dyDescent="0.3">
      <c r="A2137" s="2"/>
      <c r="H2137" s="3"/>
      <c r="I2137" s="3"/>
    </row>
    <row r="2138" spans="1:9" x14ac:dyDescent="0.3">
      <c r="A2138" s="2"/>
      <c r="H2138" s="3"/>
      <c r="I2138" s="3"/>
    </row>
    <row r="2139" spans="1:9" x14ac:dyDescent="0.3">
      <c r="A2139" s="2"/>
      <c r="H2139" s="3"/>
      <c r="I2139" s="3"/>
    </row>
    <row r="2140" spans="1:9" x14ac:dyDescent="0.3">
      <c r="A2140" s="2"/>
      <c r="H2140" s="3"/>
      <c r="I2140" s="3"/>
    </row>
    <row r="2141" spans="1:9" x14ac:dyDescent="0.3">
      <c r="A2141" s="2"/>
      <c r="H2141" s="3"/>
      <c r="I2141" s="3"/>
    </row>
    <row r="2142" spans="1:9" x14ac:dyDescent="0.3">
      <c r="A2142" s="2"/>
      <c r="H2142" s="3"/>
      <c r="I2142" s="3"/>
    </row>
    <row r="2143" spans="1:9" x14ac:dyDescent="0.3">
      <c r="A2143" s="2"/>
      <c r="H2143" s="3"/>
      <c r="I2143" s="3"/>
    </row>
    <row r="2144" spans="1:9" x14ac:dyDescent="0.3">
      <c r="A2144" s="2"/>
      <c r="H2144" s="3"/>
      <c r="I2144" s="3"/>
    </row>
    <row r="2145" spans="1:9" x14ac:dyDescent="0.3">
      <c r="A2145" s="2"/>
      <c r="H2145" s="3"/>
      <c r="I2145" s="3"/>
    </row>
    <row r="2146" spans="1:9" x14ac:dyDescent="0.3">
      <c r="A2146" s="2"/>
      <c r="H2146" s="3"/>
      <c r="I2146" s="3"/>
    </row>
    <row r="2147" spans="1:9" x14ac:dyDescent="0.3">
      <c r="A2147" s="2"/>
      <c r="H2147" s="3"/>
      <c r="I2147" s="3"/>
    </row>
    <row r="2148" spans="1:9" x14ac:dyDescent="0.3">
      <c r="A2148" s="2"/>
      <c r="H2148" s="3"/>
      <c r="I2148" s="3"/>
    </row>
    <row r="2149" spans="1:9" x14ac:dyDescent="0.3">
      <c r="A2149" s="2"/>
      <c r="H2149" s="3"/>
      <c r="I2149" s="3"/>
    </row>
    <row r="2150" spans="1:9" x14ac:dyDescent="0.3">
      <c r="A2150" s="2"/>
      <c r="H2150" s="3"/>
      <c r="I2150" s="3"/>
    </row>
    <row r="2151" spans="1:9" x14ac:dyDescent="0.3">
      <c r="A2151" s="2"/>
      <c r="H2151" s="3"/>
      <c r="I2151" s="3"/>
    </row>
    <row r="2152" spans="1:9" x14ac:dyDescent="0.3">
      <c r="A2152" s="2"/>
      <c r="H2152" s="3"/>
      <c r="I2152" s="3"/>
    </row>
    <row r="2153" spans="1:9" x14ac:dyDescent="0.3">
      <c r="A2153" s="2"/>
      <c r="H2153" s="3"/>
      <c r="I2153" s="3"/>
    </row>
    <row r="2154" spans="1:9" x14ac:dyDescent="0.3">
      <c r="A2154" s="2"/>
      <c r="H2154" s="3"/>
      <c r="I2154" s="3"/>
    </row>
    <row r="2155" spans="1:9" x14ac:dyDescent="0.3">
      <c r="A2155" s="2"/>
      <c r="H2155" s="3"/>
      <c r="I2155" s="3"/>
    </row>
    <row r="2156" spans="1:9" x14ac:dyDescent="0.3">
      <c r="A2156" s="2"/>
      <c r="H2156" s="3"/>
      <c r="I2156" s="3"/>
    </row>
    <row r="2157" spans="1:9" x14ac:dyDescent="0.3">
      <c r="A2157" s="2"/>
      <c r="H2157" s="3"/>
      <c r="I2157" s="3"/>
    </row>
    <row r="2158" spans="1:9" x14ac:dyDescent="0.3">
      <c r="A2158" s="2"/>
      <c r="H2158" s="3"/>
      <c r="I2158" s="3"/>
    </row>
    <row r="2159" spans="1:9" x14ac:dyDescent="0.3">
      <c r="A2159" s="2"/>
      <c r="H2159" s="3"/>
      <c r="I2159" s="3"/>
    </row>
    <row r="2160" spans="1:9" x14ac:dyDescent="0.3">
      <c r="A2160" s="2"/>
      <c r="H2160" s="3"/>
      <c r="I2160" s="3"/>
    </row>
    <row r="2161" spans="1:9" x14ac:dyDescent="0.3">
      <c r="A2161" s="2"/>
      <c r="H2161" s="3"/>
      <c r="I2161" s="3"/>
    </row>
    <row r="2162" spans="1:9" x14ac:dyDescent="0.3">
      <c r="A2162" s="2"/>
      <c r="H2162" s="3"/>
      <c r="I2162" s="3"/>
    </row>
    <row r="2163" spans="1:9" x14ac:dyDescent="0.3">
      <c r="A2163" s="2"/>
      <c r="H2163" s="3"/>
      <c r="I2163" s="3"/>
    </row>
    <row r="2164" spans="1:9" x14ac:dyDescent="0.3">
      <c r="A2164" s="2"/>
      <c r="H2164" s="3"/>
      <c r="I2164" s="3"/>
    </row>
    <row r="2165" spans="1:9" x14ac:dyDescent="0.3">
      <c r="A2165" s="2"/>
      <c r="H2165" s="3"/>
      <c r="I2165" s="3"/>
    </row>
    <row r="2166" spans="1:9" x14ac:dyDescent="0.3">
      <c r="A2166" s="2"/>
      <c r="H2166" s="3"/>
      <c r="I2166" s="3"/>
    </row>
    <row r="2167" spans="1:9" x14ac:dyDescent="0.3">
      <c r="A2167" s="2"/>
      <c r="H2167" s="3"/>
      <c r="I2167" s="3"/>
    </row>
    <row r="2168" spans="1:9" x14ac:dyDescent="0.3">
      <c r="A2168" s="2"/>
      <c r="H2168" s="3"/>
      <c r="I2168" s="3"/>
    </row>
    <row r="2169" spans="1:9" x14ac:dyDescent="0.3">
      <c r="A2169" s="2"/>
      <c r="H2169" s="3"/>
      <c r="I2169" s="3"/>
    </row>
    <row r="2170" spans="1:9" x14ac:dyDescent="0.3">
      <c r="A2170" s="2"/>
      <c r="H2170" s="3"/>
      <c r="I2170" s="3"/>
    </row>
    <row r="2171" spans="1:9" x14ac:dyDescent="0.3">
      <c r="A2171" s="2"/>
      <c r="H2171" s="3"/>
      <c r="I2171" s="3"/>
    </row>
    <row r="2172" spans="1:9" x14ac:dyDescent="0.3">
      <c r="A2172" s="2"/>
      <c r="H2172" s="3"/>
      <c r="I2172" s="3"/>
    </row>
    <row r="2173" spans="1:9" x14ac:dyDescent="0.3">
      <c r="A2173" s="2"/>
      <c r="H2173" s="3"/>
      <c r="I2173" s="3"/>
    </row>
    <row r="2174" spans="1:9" x14ac:dyDescent="0.3">
      <c r="A2174" s="2"/>
      <c r="H2174" s="3"/>
      <c r="I2174" s="3"/>
    </row>
    <row r="2175" spans="1:9" x14ac:dyDescent="0.3">
      <c r="A2175" s="2"/>
      <c r="H2175" s="3"/>
      <c r="I2175" s="3"/>
    </row>
    <row r="2176" spans="1:9" x14ac:dyDescent="0.3">
      <c r="A2176" s="2"/>
      <c r="H2176" s="3"/>
      <c r="I2176" s="3"/>
    </row>
    <row r="2177" spans="1:9" x14ac:dyDescent="0.3">
      <c r="A2177" s="2"/>
      <c r="H2177" s="3"/>
      <c r="I2177" s="3"/>
    </row>
    <row r="2178" spans="1:9" x14ac:dyDescent="0.3">
      <c r="A2178" s="2"/>
      <c r="H2178" s="3"/>
      <c r="I2178" s="3"/>
    </row>
    <row r="2179" spans="1:9" x14ac:dyDescent="0.3">
      <c r="A2179" s="2"/>
      <c r="H2179" s="3"/>
      <c r="I2179" s="3"/>
    </row>
    <row r="2180" spans="1:9" x14ac:dyDescent="0.3">
      <c r="A2180" s="2"/>
      <c r="H2180" s="3"/>
      <c r="I2180" s="3"/>
    </row>
    <row r="2181" spans="1:9" x14ac:dyDescent="0.3">
      <c r="A2181" s="2"/>
      <c r="H2181" s="3"/>
      <c r="I2181" s="3"/>
    </row>
    <row r="2182" spans="1:9" x14ac:dyDescent="0.3">
      <c r="A2182" s="2"/>
      <c r="H2182" s="3"/>
      <c r="I2182" s="3"/>
    </row>
    <row r="2183" spans="1:9" x14ac:dyDescent="0.3">
      <c r="A2183" s="2"/>
      <c r="H2183" s="3"/>
      <c r="I2183" s="3"/>
    </row>
    <row r="2184" spans="1:9" x14ac:dyDescent="0.3">
      <c r="A2184" s="2"/>
      <c r="H2184" s="3"/>
      <c r="I2184" s="3"/>
    </row>
    <row r="2185" spans="1:9" x14ac:dyDescent="0.3">
      <c r="A2185" s="2"/>
      <c r="H2185" s="3"/>
      <c r="I2185" s="3"/>
    </row>
    <row r="2186" spans="1:9" x14ac:dyDescent="0.3">
      <c r="A2186" s="2"/>
      <c r="H2186" s="3"/>
      <c r="I2186" s="3"/>
    </row>
    <row r="2187" spans="1:9" x14ac:dyDescent="0.3">
      <c r="A2187" s="2"/>
      <c r="H2187" s="3"/>
      <c r="I2187" s="3"/>
    </row>
    <row r="2188" spans="1:9" x14ac:dyDescent="0.3">
      <c r="A2188" s="2"/>
      <c r="H2188" s="3"/>
      <c r="I2188" s="3"/>
    </row>
    <row r="2189" spans="1:9" x14ac:dyDescent="0.3">
      <c r="A2189" s="2"/>
      <c r="H2189" s="3"/>
      <c r="I2189" s="3"/>
    </row>
    <row r="2190" spans="1:9" x14ac:dyDescent="0.3">
      <c r="A2190" s="2"/>
      <c r="H2190" s="3"/>
      <c r="I2190" s="3"/>
    </row>
    <row r="2191" spans="1:9" x14ac:dyDescent="0.3">
      <c r="A2191" s="2"/>
      <c r="H2191" s="3"/>
      <c r="I2191" s="3"/>
    </row>
    <row r="2192" spans="1:9" x14ac:dyDescent="0.3">
      <c r="A2192" s="2"/>
      <c r="H2192" s="3"/>
      <c r="I2192" s="3"/>
    </row>
    <row r="2193" spans="1:9" x14ac:dyDescent="0.3">
      <c r="A2193" s="2"/>
      <c r="H2193" s="3"/>
      <c r="I2193" s="3"/>
    </row>
    <row r="2194" spans="1:9" x14ac:dyDescent="0.3">
      <c r="A2194" s="2"/>
      <c r="H2194" s="3"/>
      <c r="I2194" s="3"/>
    </row>
    <row r="2195" spans="1:9" x14ac:dyDescent="0.3">
      <c r="A2195" s="2"/>
      <c r="H2195" s="3"/>
      <c r="I2195" s="3"/>
    </row>
    <row r="2196" spans="1:9" x14ac:dyDescent="0.3">
      <c r="A2196" s="2"/>
      <c r="H2196" s="3"/>
      <c r="I2196" s="3"/>
    </row>
    <row r="2197" spans="1:9" x14ac:dyDescent="0.3">
      <c r="A2197" s="2"/>
      <c r="H2197" s="3"/>
      <c r="I2197" s="3"/>
    </row>
    <row r="2198" spans="1:9" x14ac:dyDescent="0.3">
      <c r="A2198" s="2"/>
      <c r="H2198" s="3"/>
      <c r="I2198" s="3"/>
    </row>
    <row r="2199" spans="1:9" x14ac:dyDescent="0.3">
      <c r="A2199" s="2"/>
      <c r="H2199" s="3"/>
      <c r="I2199" s="3"/>
    </row>
    <row r="2200" spans="1:9" x14ac:dyDescent="0.3">
      <c r="A2200" s="2"/>
      <c r="H2200" s="3"/>
      <c r="I2200" s="3"/>
    </row>
    <row r="2201" spans="1:9" x14ac:dyDescent="0.3">
      <c r="A2201" s="2"/>
      <c r="H2201" s="3"/>
      <c r="I2201" s="3"/>
    </row>
    <row r="2202" spans="1:9" x14ac:dyDescent="0.3">
      <c r="A2202" s="2"/>
      <c r="H2202" s="3"/>
      <c r="I2202" s="3"/>
    </row>
    <row r="2203" spans="1:9" x14ac:dyDescent="0.3">
      <c r="A2203" s="2"/>
      <c r="H2203" s="3"/>
      <c r="I2203" s="3"/>
    </row>
    <row r="2204" spans="1:9" x14ac:dyDescent="0.3">
      <c r="A2204" s="2"/>
      <c r="H2204" s="3"/>
      <c r="I2204" s="3"/>
    </row>
    <row r="2205" spans="1:9" x14ac:dyDescent="0.3">
      <c r="A2205" s="2"/>
      <c r="H2205" s="3"/>
      <c r="I2205" s="3"/>
    </row>
    <row r="2206" spans="1:9" x14ac:dyDescent="0.3">
      <c r="A2206" s="2"/>
      <c r="H2206" s="3"/>
      <c r="I2206" s="3"/>
    </row>
    <row r="2207" spans="1:9" x14ac:dyDescent="0.3">
      <c r="A2207" s="2"/>
      <c r="H2207" s="3"/>
      <c r="I2207" s="3"/>
    </row>
    <row r="2208" spans="1:9" x14ac:dyDescent="0.3">
      <c r="A2208" s="2"/>
      <c r="H2208" s="3"/>
      <c r="I2208" s="3"/>
    </row>
    <row r="2209" spans="1:9" x14ac:dyDescent="0.3">
      <c r="A2209" s="2"/>
      <c r="H2209" s="3"/>
      <c r="I2209" s="3"/>
    </row>
    <row r="2210" spans="1:9" x14ac:dyDescent="0.3">
      <c r="A2210" s="2"/>
      <c r="H2210" s="3"/>
      <c r="I2210" s="3"/>
    </row>
    <row r="2211" spans="1:9" x14ac:dyDescent="0.3">
      <c r="A2211" s="2"/>
      <c r="H2211" s="3"/>
      <c r="I2211" s="3"/>
    </row>
    <row r="2212" spans="1:9" x14ac:dyDescent="0.3">
      <c r="A2212" s="2"/>
      <c r="H2212" s="3"/>
      <c r="I2212" s="3"/>
    </row>
    <row r="2213" spans="1:9" x14ac:dyDescent="0.3">
      <c r="A2213" s="2"/>
      <c r="H2213" s="3"/>
      <c r="I2213" s="3"/>
    </row>
    <row r="2214" spans="1:9" x14ac:dyDescent="0.3">
      <c r="A2214" s="2"/>
      <c r="H2214" s="3"/>
      <c r="I2214" s="3"/>
    </row>
    <row r="2215" spans="1:9" x14ac:dyDescent="0.3">
      <c r="A2215" s="2"/>
      <c r="H2215" s="3"/>
      <c r="I2215" s="3"/>
    </row>
    <row r="2216" spans="1:9" x14ac:dyDescent="0.3">
      <c r="A2216" s="2"/>
      <c r="H2216" s="3"/>
      <c r="I2216" s="3"/>
    </row>
    <row r="2217" spans="1:9" x14ac:dyDescent="0.3">
      <c r="A2217" s="2"/>
      <c r="H2217" s="3"/>
      <c r="I2217" s="3"/>
    </row>
    <row r="2218" spans="1:9" x14ac:dyDescent="0.3">
      <c r="A2218" s="2"/>
      <c r="H2218" s="3"/>
      <c r="I2218" s="3"/>
    </row>
    <row r="2219" spans="1:9" x14ac:dyDescent="0.3">
      <c r="A2219" s="2"/>
      <c r="H2219" s="3"/>
      <c r="I2219" s="3"/>
    </row>
    <row r="2220" spans="1:9" x14ac:dyDescent="0.3">
      <c r="A2220" s="2"/>
      <c r="H2220" s="3"/>
      <c r="I2220" s="3"/>
    </row>
    <row r="2221" spans="1:9" x14ac:dyDescent="0.3">
      <c r="A2221" s="2"/>
      <c r="H2221" s="3"/>
      <c r="I2221" s="3"/>
    </row>
    <row r="2222" spans="1:9" x14ac:dyDescent="0.3">
      <c r="A2222" s="2"/>
      <c r="H2222" s="3"/>
      <c r="I2222" s="3"/>
    </row>
    <row r="2223" spans="1:9" x14ac:dyDescent="0.3">
      <c r="A2223" s="2"/>
      <c r="H2223" s="3"/>
      <c r="I2223" s="3"/>
    </row>
    <row r="2224" spans="1:9" x14ac:dyDescent="0.3">
      <c r="A2224" s="2"/>
      <c r="H2224" s="3"/>
      <c r="I2224" s="3"/>
    </row>
    <row r="2225" spans="1:9" x14ac:dyDescent="0.3">
      <c r="A2225" s="2"/>
      <c r="H2225" s="3"/>
      <c r="I2225" s="3"/>
    </row>
    <row r="2226" spans="1:9" x14ac:dyDescent="0.3">
      <c r="A2226" s="2"/>
      <c r="H2226" s="3"/>
      <c r="I2226" s="3"/>
    </row>
    <row r="2227" spans="1:9" x14ac:dyDescent="0.3">
      <c r="A2227" s="2"/>
      <c r="H2227" s="3"/>
      <c r="I2227" s="3"/>
    </row>
    <row r="2228" spans="1:9" x14ac:dyDescent="0.3">
      <c r="A2228" s="2"/>
      <c r="H2228" s="3"/>
      <c r="I2228" s="3"/>
    </row>
    <row r="2229" spans="1:9" x14ac:dyDescent="0.3">
      <c r="A2229" s="2"/>
      <c r="H2229" s="3"/>
      <c r="I2229" s="3"/>
    </row>
    <row r="2230" spans="1:9" x14ac:dyDescent="0.3">
      <c r="A2230" s="2"/>
      <c r="H2230" s="3"/>
      <c r="I2230" s="3"/>
    </row>
    <row r="2231" spans="1:9" x14ac:dyDescent="0.3">
      <c r="A2231" s="2"/>
      <c r="H2231" s="3"/>
      <c r="I2231" s="3"/>
    </row>
    <row r="2232" spans="1:9" x14ac:dyDescent="0.3">
      <c r="A2232" s="2"/>
      <c r="H2232" s="3"/>
      <c r="I2232" s="3"/>
    </row>
    <row r="2233" spans="1:9" x14ac:dyDescent="0.3">
      <c r="A2233" s="2"/>
      <c r="H2233" s="3"/>
      <c r="I2233" s="3"/>
    </row>
    <row r="2234" spans="1:9" x14ac:dyDescent="0.3">
      <c r="A2234" s="2"/>
      <c r="H2234" s="3"/>
      <c r="I2234" s="3"/>
    </row>
    <row r="2235" spans="1:9" x14ac:dyDescent="0.3">
      <c r="A2235" s="2"/>
      <c r="H2235" s="3"/>
      <c r="I2235" s="3"/>
    </row>
    <row r="2236" spans="1:9" x14ac:dyDescent="0.3">
      <c r="A2236" s="2"/>
      <c r="H2236" s="3"/>
      <c r="I2236" s="3"/>
    </row>
    <row r="2237" spans="1:9" x14ac:dyDescent="0.3">
      <c r="A2237" s="2"/>
      <c r="H2237" s="3"/>
      <c r="I2237" s="3"/>
    </row>
    <row r="2238" spans="1:9" x14ac:dyDescent="0.3">
      <c r="A2238" s="2"/>
      <c r="H2238" s="3"/>
      <c r="I2238" s="3"/>
    </row>
    <row r="2239" spans="1:9" x14ac:dyDescent="0.3">
      <c r="A2239" s="2"/>
      <c r="H2239" s="3"/>
      <c r="I2239" s="3"/>
    </row>
    <row r="2240" spans="1:9" x14ac:dyDescent="0.3">
      <c r="A2240" s="2"/>
      <c r="H2240" s="3"/>
      <c r="I2240" s="3"/>
    </row>
    <row r="2241" spans="1:9" x14ac:dyDescent="0.3">
      <c r="A2241" s="2"/>
      <c r="H2241" s="3"/>
      <c r="I2241" s="3"/>
    </row>
    <row r="2242" spans="1:9" x14ac:dyDescent="0.3">
      <c r="A2242" s="2"/>
      <c r="H2242" s="3"/>
      <c r="I2242" s="3"/>
    </row>
    <row r="2243" spans="1:9" x14ac:dyDescent="0.3">
      <c r="A2243" s="2"/>
      <c r="H2243" s="3"/>
      <c r="I2243" s="3"/>
    </row>
    <row r="2244" spans="1:9" x14ac:dyDescent="0.3">
      <c r="A2244" s="2"/>
      <c r="H2244" s="3"/>
      <c r="I2244" s="3"/>
    </row>
    <row r="2245" spans="1:9" x14ac:dyDescent="0.3">
      <c r="A2245" s="2"/>
      <c r="H2245" s="3"/>
      <c r="I2245" s="3"/>
    </row>
    <row r="2246" spans="1:9" x14ac:dyDescent="0.3">
      <c r="A2246" s="2"/>
      <c r="H2246" s="3"/>
      <c r="I2246" s="3"/>
    </row>
    <row r="2247" spans="1:9" x14ac:dyDescent="0.3">
      <c r="A2247" s="2"/>
      <c r="H2247" s="3"/>
      <c r="I2247" s="3"/>
    </row>
    <row r="2248" spans="1:9" x14ac:dyDescent="0.3">
      <c r="A2248" s="2"/>
      <c r="H2248" s="3"/>
      <c r="I2248" s="3"/>
    </row>
    <row r="2249" spans="1:9" x14ac:dyDescent="0.3">
      <c r="A2249" s="2"/>
      <c r="H2249" s="3"/>
      <c r="I2249" s="3"/>
    </row>
    <row r="2250" spans="1:9" x14ac:dyDescent="0.3">
      <c r="A2250" s="2"/>
      <c r="H2250" s="3"/>
      <c r="I2250" s="3"/>
    </row>
    <row r="2251" spans="1:9" x14ac:dyDescent="0.3">
      <c r="A2251" s="2"/>
      <c r="H2251" s="3"/>
      <c r="I2251" s="3"/>
    </row>
    <row r="2252" spans="1:9" x14ac:dyDescent="0.3">
      <c r="A2252" s="2"/>
      <c r="H2252" s="3"/>
      <c r="I2252" s="3"/>
    </row>
    <row r="2253" spans="1:9" x14ac:dyDescent="0.3">
      <c r="A2253" s="2"/>
      <c r="H2253" s="3"/>
      <c r="I2253" s="3"/>
    </row>
    <row r="2254" spans="1:9" x14ac:dyDescent="0.3">
      <c r="A2254" s="2"/>
      <c r="H2254" s="3"/>
      <c r="I2254" s="3"/>
    </row>
    <row r="2255" spans="1:9" x14ac:dyDescent="0.3">
      <c r="A2255" s="2"/>
      <c r="H2255" s="3"/>
      <c r="I2255" s="3"/>
    </row>
    <row r="2256" spans="1:9" x14ac:dyDescent="0.3">
      <c r="A2256" s="2"/>
      <c r="H2256" s="3"/>
      <c r="I2256" s="3"/>
    </row>
    <row r="2257" spans="1:9" x14ac:dyDescent="0.3">
      <c r="A2257" s="2"/>
      <c r="H2257" s="3"/>
      <c r="I2257" s="3"/>
    </row>
    <row r="2258" spans="1:9" x14ac:dyDescent="0.3">
      <c r="A2258" s="2"/>
      <c r="H2258" s="3"/>
      <c r="I2258" s="3"/>
    </row>
    <row r="2259" spans="1:9" x14ac:dyDescent="0.3">
      <c r="A2259" s="2"/>
      <c r="H2259" s="3"/>
      <c r="I2259" s="3"/>
    </row>
    <row r="2260" spans="1:9" x14ac:dyDescent="0.3">
      <c r="A2260" s="2"/>
      <c r="H2260" s="3"/>
      <c r="I2260" s="3"/>
    </row>
    <row r="2261" spans="1:9" x14ac:dyDescent="0.3">
      <c r="A2261" s="2"/>
      <c r="H2261" s="3"/>
      <c r="I2261" s="3"/>
    </row>
    <row r="2262" spans="1:9" x14ac:dyDescent="0.3">
      <c r="A2262" s="2"/>
      <c r="H2262" s="3"/>
      <c r="I2262" s="3"/>
    </row>
    <row r="2263" spans="1:9" x14ac:dyDescent="0.3">
      <c r="A2263" s="2"/>
      <c r="H2263" s="3"/>
      <c r="I2263" s="3"/>
    </row>
    <row r="2264" spans="1:9" x14ac:dyDescent="0.3">
      <c r="A2264" s="2"/>
      <c r="H2264" s="3"/>
      <c r="I2264" s="3"/>
    </row>
    <row r="2265" spans="1:9" x14ac:dyDescent="0.3">
      <c r="A2265" s="2"/>
      <c r="H2265" s="3"/>
      <c r="I2265" s="3"/>
    </row>
    <row r="2266" spans="1:9" x14ac:dyDescent="0.3">
      <c r="A2266" s="2"/>
      <c r="H2266" s="3"/>
      <c r="I2266" s="3"/>
    </row>
    <row r="2267" spans="1:9" x14ac:dyDescent="0.3">
      <c r="A2267" s="2"/>
      <c r="H2267" s="3"/>
      <c r="I2267" s="3"/>
    </row>
    <row r="2268" spans="1:9" x14ac:dyDescent="0.3">
      <c r="A2268" s="2"/>
      <c r="H2268" s="3"/>
      <c r="I2268" s="3"/>
    </row>
    <row r="2269" spans="1:9" x14ac:dyDescent="0.3">
      <c r="A2269" s="2"/>
      <c r="H2269" s="3"/>
      <c r="I2269" s="3"/>
    </row>
    <row r="2270" spans="1:9" x14ac:dyDescent="0.3">
      <c r="A2270" s="2"/>
      <c r="H2270" s="3"/>
      <c r="I2270" s="3"/>
    </row>
    <row r="2271" spans="1:9" x14ac:dyDescent="0.3">
      <c r="A2271" s="2"/>
      <c r="H2271" s="3"/>
      <c r="I2271" s="3"/>
    </row>
    <row r="2272" spans="1:9" x14ac:dyDescent="0.3">
      <c r="A2272" s="2"/>
      <c r="H2272" s="3"/>
      <c r="I2272" s="3"/>
    </row>
    <row r="2273" spans="1:9" x14ac:dyDescent="0.3">
      <c r="A2273" s="2"/>
      <c r="H2273" s="3"/>
      <c r="I2273" s="3"/>
    </row>
    <row r="2274" spans="1:9" x14ac:dyDescent="0.3">
      <c r="A2274" s="2"/>
      <c r="H2274" s="3"/>
      <c r="I2274" s="3"/>
    </row>
    <row r="2275" spans="1:9" x14ac:dyDescent="0.3">
      <c r="A2275" s="2"/>
      <c r="H2275" s="3"/>
      <c r="I2275" s="3"/>
    </row>
    <row r="2276" spans="1:9" x14ac:dyDescent="0.3">
      <c r="A2276" s="2"/>
      <c r="H2276" s="3"/>
      <c r="I2276" s="3"/>
    </row>
    <row r="2277" spans="1:9" x14ac:dyDescent="0.3">
      <c r="A2277" s="2"/>
      <c r="H2277" s="3"/>
      <c r="I2277" s="3"/>
    </row>
    <row r="2278" spans="1:9" x14ac:dyDescent="0.3">
      <c r="A2278" s="2"/>
      <c r="H2278" s="3"/>
      <c r="I2278" s="3"/>
    </row>
    <row r="2279" spans="1:9" x14ac:dyDescent="0.3">
      <c r="A2279" s="2"/>
      <c r="H2279" s="3"/>
      <c r="I2279" s="3"/>
    </row>
    <row r="2280" spans="1:9" x14ac:dyDescent="0.3">
      <c r="A2280" s="2"/>
      <c r="H2280" s="3"/>
      <c r="I2280" s="3"/>
    </row>
    <row r="2281" spans="1:9" x14ac:dyDescent="0.3">
      <c r="A2281" s="2"/>
      <c r="H2281" s="3"/>
      <c r="I2281" s="3"/>
    </row>
    <row r="2282" spans="1:9" x14ac:dyDescent="0.3">
      <c r="A2282" s="2"/>
      <c r="H2282" s="3"/>
      <c r="I2282" s="3"/>
    </row>
    <row r="2283" spans="1:9" x14ac:dyDescent="0.3">
      <c r="A2283" s="2"/>
      <c r="H2283" s="3"/>
      <c r="I2283" s="3"/>
    </row>
    <row r="2284" spans="1:9" x14ac:dyDescent="0.3">
      <c r="A2284" s="2"/>
      <c r="H2284" s="3"/>
      <c r="I2284" s="3"/>
    </row>
    <row r="2285" spans="1:9" x14ac:dyDescent="0.3">
      <c r="A2285" s="2"/>
      <c r="H2285" s="3"/>
      <c r="I2285" s="3"/>
    </row>
    <row r="2286" spans="1:9" x14ac:dyDescent="0.3">
      <c r="A2286" s="2"/>
      <c r="H2286" s="3"/>
      <c r="I2286" s="3"/>
    </row>
    <row r="2287" spans="1:9" x14ac:dyDescent="0.3">
      <c r="A2287" s="2"/>
      <c r="H2287" s="3"/>
      <c r="I2287" s="3"/>
    </row>
    <row r="2288" spans="1:9" x14ac:dyDescent="0.3">
      <c r="A2288" s="2"/>
      <c r="H2288" s="3"/>
      <c r="I2288" s="3"/>
    </row>
    <row r="2289" spans="1:9" x14ac:dyDescent="0.3">
      <c r="A2289" s="2"/>
      <c r="H2289" s="3"/>
      <c r="I2289" s="3"/>
    </row>
    <row r="2290" spans="1:9" x14ac:dyDescent="0.3">
      <c r="A2290" s="2"/>
      <c r="H2290" s="3"/>
      <c r="I2290" s="3"/>
    </row>
    <row r="2291" spans="1:9" x14ac:dyDescent="0.3">
      <c r="A2291" s="2"/>
      <c r="H2291" s="3"/>
      <c r="I2291" s="3"/>
    </row>
    <row r="2292" spans="1:9" x14ac:dyDescent="0.3">
      <c r="A2292" s="2"/>
      <c r="H2292" s="3"/>
      <c r="I2292" s="3"/>
    </row>
    <row r="2293" spans="1:9" x14ac:dyDescent="0.3">
      <c r="A2293" s="2"/>
      <c r="H2293" s="3"/>
      <c r="I2293" s="3"/>
    </row>
    <row r="2294" spans="1:9" x14ac:dyDescent="0.3">
      <c r="A2294" s="2"/>
      <c r="H2294" s="3"/>
      <c r="I2294" s="3"/>
    </row>
    <row r="2295" spans="1:9" x14ac:dyDescent="0.3">
      <c r="A2295" s="2"/>
      <c r="H2295" s="3"/>
      <c r="I2295" s="3"/>
    </row>
    <row r="2296" spans="1:9" x14ac:dyDescent="0.3">
      <c r="A2296" s="2"/>
      <c r="H2296" s="3"/>
      <c r="I2296" s="3"/>
    </row>
    <row r="2297" spans="1:9" x14ac:dyDescent="0.3">
      <c r="A2297" s="2"/>
      <c r="H2297" s="3"/>
      <c r="I2297" s="3"/>
    </row>
    <row r="2298" spans="1:9" x14ac:dyDescent="0.3">
      <c r="A2298" s="2"/>
      <c r="H2298" s="3"/>
      <c r="I2298" s="3"/>
    </row>
    <row r="2299" spans="1:9" x14ac:dyDescent="0.3">
      <c r="A2299" s="2"/>
      <c r="H2299" s="3"/>
      <c r="I2299" s="3"/>
    </row>
    <row r="2300" spans="1:9" x14ac:dyDescent="0.3">
      <c r="A2300" s="2"/>
      <c r="H2300" s="3"/>
      <c r="I2300" s="3"/>
    </row>
    <row r="2301" spans="1:9" x14ac:dyDescent="0.3">
      <c r="A2301" s="2"/>
      <c r="H2301" s="3"/>
      <c r="I2301" s="3"/>
    </row>
    <row r="2302" spans="1:9" x14ac:dyDescent="0.3">
      <c r="A2302" s="2"/>
      <c r="H2302" s="3"/>
      <c r="I2302" s="3"/>
    </row>
    <row r="2303" spans="1:9" x14ac:dyDescent="0.3">
      <c r="A2303" s="2"/>
      <c r="H2303" s="3"/>
      <c r="I2303" s="3"/>
    </row>
    <row r="2304" spans="1:9" x14ac:dyDescent="0.3">
      <c r="A2304" s="2"/>
      <c r="H2304" s="3"/>
      <c r="I2304" s="3"/>
    </row>
    <row r="2305" spans="1:9" x14ac:dyDescent="0.3">
      <c r="A2305" s="2"/>
      <c r="H2305" s="3"/>
      <c r="I2305" s="3"/>
    </row>
    <row r="2306" spans="1:9" x14ac:dyDescent="0.3">
      <c r="A2306" s="2"/>
      <c r="H2306" s="3"/>
      <c r="I2306" s="3"/>
    </row>
    <row r="2307" spans="1:9" x14ac:dyDescent="0.3">
      <c r="A2307" s="2"/>
      <c r="H2307" s="3"/>
      <c r="I2307" s="3"/>
    </row>
    <row r="2308" spans="1:9" x14ac:dyDescent="0.3">
      <c r="A2308" s="2"/>
      <c r="H2308" s="3"/>
      <c r="I2308" s="3"/>
    </row>
    <row r="2309" spans="1:9" x14ac:dyDescent="0.3">
      <c r="A2309" s="2"/>
      <c r="H2309" s="3"/>
      <c r="I2309" s="3"/>
    </row>
    <row r="2310" spans="1:9" x14ac:dyDescent="0.3">
      <c r="A2310" s="2"/>
      <c r="H2310" s="3"/>
      <c r="I2310" s="3"/>
    </row>
    <row r="2311" spans="1:9" x14ac:dyDescent="0.3">
      <c r="A2311" s="2"/>
      <c r="H2311" s="3"/>
      <c r="I2311" s="3"/>
    </row>
    <row r="2312" spans="1:9" x14ac:dyDescent="0.3">
      <c r="A2312" s="2"/>
      <c r="H2312" s="3"/>
      <c r="I2312" s="3"/>
    </row>
    <row r="2313" spans="1:9" x14ac:dyDescent="0.3">
      <c r="A2313" s="2"/>
      <c r="H2313" s="3"/>
      <c r="I2313" s="3"/>
    </row>
    <row r="2314" spans="1:9" x14ac:dyDescent="0.3">
      <c r="A2314" s="2"/>
      <c r="H2314" s="3"/>
      <c r="I2314" s="3"/>
    </row>
    <row r="2315" spans="1:9" x14ac:dyDescent="0.3">
      <c r="A2315" s="2"/>
      <c r="H2315" s="3"/>
      <c r="I2315" s="3"/>
    </row>
    <row r="2316" spans="1:9" x14ac:dyDescent="0.3">
      <c r="A2316" s="2"/>
      <c r="H2316" s="3"/>
      <c r="I2316" s="3"/>
    </row>
    <row r="2317" spans="1:9" x14ac:dyDescent="0.3">
      <c r="A2317" s="2"/>
      <c r="H2317" s="3"/>
      <c r="I2317" s="3"/>
    </row>
    <row r="2318" spans="1:9" x14ac:dyDescent="0.3">
      <c r="A2318" s="2"/>
      <c r="H2318" s="3"/>
      <c r="I2318" s="3"/>
    </row>
    <row r="2319" spans="1:9" x14ac:dyDescent="0.3">
      <c r="A2319" s="2"/>
      <c r="H2319" s="3"/>
      <c r="I2319" s="3"/>
    </row>
    <row r="2320" spans="1:9" x14ac:dyDescent="0.3">
      <c r="A2320" s="2"/>
      <c r="H2320" s="3"/>
      <c r="I2320" s="3"/>
    </row>
    <row r="2321" spans="1:9" x14ac:dyDescent="0.3">
      <c r="A2321" s="2"/>
      <c r="H2321" s="3"/>
      <c r="I2321" s="3"/>
    </row>
    <row r="2322" spans="1:9" x14ac:dyDescent="0.3">
      <c r="A2322" s="2"/>
      <c r="H2322" s="3"/>
      <c r="I2322" s="3"/>
    </row>
    <row r="2323" spans="1:9" x14ac:dyDescent="0.3">
      <c r="A2323" s="2"/>
      <c r="H2323" s="3"/>
      <c r="I2323" s="3"/>
    </row>
    <row r="2324" spans="1:9" x14ac:dyDescent="0.3">
      <c r="A2324" s="2"/>
      <c r="H2324" s="3"/>
      <c r="I2324" s="3"/>
    </row>
    <row r="2325" spans="1:9" x14ac:dyDescent="0.3">
      <c r="A2325" s="2"/>
      <c r="H2325" s="3"/>
      <c r="I2325" s="3"/>
    </row>
    <row r="2326" spans="1:9" x14ac:dyDescent="0.3">
      <c r="A2326" s="2"/>
      <c r="H2326" s="3"/>
      <c r="I2326" s="3"/>
    </row>
    <row r="2327" spans="1:9" x14ac:dyDescent="0.3">
      <c r="A2327" s="2"/>
      <c r="H2327" s="3"/>
      <c r="I2327" s="3"/>
    </row>
    <row r="2328" spans="1:9" x14ac:dyDescent="0.3">
      <c r="A2328" s="2"/>
      <c r="H2328" s="3"/>
      <c r="I2328" s="3"/>
    </row>
    <row r="2329" spans="1:9" x14ac:dyDescent="0.3">
      <c r="A2329" s="2"/>
      <c r="H2329" s="3"/>
      <c r="I2329" s="3"/>
    </row>
    <row r="2330" spans="1:9" x14ac:dyDescent="0.3">
      <c r="A2330" s="2"/>
      <c r="H2330" s="3"/>
      <c r="I2330" s="3"/>
    </row>
    <row r="2331" spans="1:9" x14ac:dyDescent="0.3">
      <c r="A2331" s="2"/>
      <c r="H2331" s="3"/>
      <c r="I2331" s="3"/>
    </row>
    <row r="2332" spans="1:9" x14ac:dyDescent="0.3">
      <c r="A2332" s="2"/>
      <c r="H2332" s="3"/>
      <c r="I2332" s="3"/>
    </row>
    <row r="2333" spans="1:9" x14ac:dyDescent="0.3">
      <c r="A2333" s="2"/>
      <c r="H2333" s="3"/>
      <c r="I2333" s="3"/>
    </row>
    <row r="2334" spans="1:9" x14ac:dyDescent="0.3">
      <c r="A2334" s="2"/>
      <c r="H2334" s="3"/>
      <c r="I2334" s="3"/>
    </row>
    <row r="2335" spans="1:9" x14ac:dyDescent="0.3">
      <c r="A2335" s="2"/>
      <c r="H2335" s="3"/>
      <c r="I2335" s="3"/>
    </row>
    <row r="2336" spans="1:9" x14ac:dyDescent="0.3">
      <c r="A2336" s="2"/>
      <c r="H2336" s="3"/>
      <c r="I2336" s="3"/>
    </row>
    <row r="2337" spans="1:9" x14ac:dyDescent="0.3">
      <c r="A2337" s="2"/>
      <c r="H2337" s="3"/>
      <c r="I2337" s="3"/>
    </row>
    <row r="2338" spans="1:9" x14ac:dyDescent="0.3">
      <c r="A2338" s="2"/>
      <c r="H2338" s="3"/>
      <c r="I2338" s="3"/>
    </row>
    <row r="2339" spans="1:9" x14ac:dyDescent="0.3">
      <c r="A2339" s="2"/>
      <c r="H2339" s="3"/>
      <c r="I2339" s="3"/>
    </row>
    <row r="2340" spans="1:9" x14ac:dyDescent="0.3">
      <c r="A2340" s="2"/>
      <c r="H2340" s="3"/>
      <c r="I2340" s="3"/>
    </row>
    <row r="2341" spans="1:9" x14ac:dyDescent="0.3">
      <c r="A2341" s="2"/>
      <c r="H2341" s="3"/>
      <c r="I2341" s="3"/>
    </row>
    <row r="2342" spans="1:9" x14ac:dyDescent="0.3">
      <c r="A2342" s="2"/>
      <c r="H2342" s="3"/>
      <c r="I2342" s="3"/>
    </row>
    <row r="2343" spans="1:9" x14ac:dyDescent="0.3">
      <c r="A2343" s="2"/>
      <c r="H2343" s="3"/>
      <c r="I2343" s="3"/>
    </row>
    <row r="2344" spans="1:9" x14ac:dyDescent="0.3">
      <c r="A2344" s="2"/>
      <c r="H2344" s="3"/>
      <c r="I2344" s="3"/>
    </row>
    <row r="2345" spans="1:9" x14ac:dyDescent="0.3">
      <c r="A2345" s="2"/>
      <c r="H2345" s="3"/>
      <c r="I2345" s="3"/>
    </row>
    <row r="2346" spans="1:9" x14ac:dyDescent="0.3">
      <c r="A2346" s="2"/>
      <c r="H2346" s="3"/>
      <c r="I2346" s="3"/>
    </row>
    <row r="2347" spans="1:9" x14ac:dyDescent="0.3">
      <c r="A2347" s="2"/>
      <c r="H2347" s="3"/>
      <c r="I2347" s="3"/>
    </row>
    <row r="2348" spans="1:9" x14ac:dyDescent="0.3">
      <c r="A2348" s="2"/>
      <c r="H2348" s="3"/>
      <c r="I2348" s="3"/>
    </row>
    <row r="2349" spans="1:9" x14ac:dyDescent="0.3">
      <c r="A2349" s="2"/>
      <c r="H2349" s="3"/>
      <c r="I2349" s="3"/>
    </row>
    <row r="2350" spans="1:9" x14ac:dyDescent="0.3">
      <c r="A2350" s="2"/>
      <c r="H2350" s="3"/>
      <c r="I2350" s="3"/>
    </row>
    <row r="2351" spans="1:9" x14ac:dyDescent="0.3">
      <c r="A2351" s="2"/>
      <c r="H2351" s="3"/>
      <c r="I2351" s="3"/>
    </row>
    <row r="2352" spans="1:9" x14ac:dyDescent="0.3">
      <c r="A2352" s="2"/>
      <c r="H2352" s="3"/>
      <c r="I2352" s="3"/>
    </row>
    <row r="2353" spans="1:9" x14ac:dyDescent="0.3">
      <c r="A2353" s="2"/>
      <c r="H2353" s="3"/>
      <c r="I2353" s="3"/>
    </row>
    <row r="2354" spans="1:9" x14ac:dyDescent="0.3">
      <c r="A2354" s="2"/>
      <c r="H2354" s="3"/>
      <c r="I2354" s="3"/>
    </row>
    <row r="2355" spans="1:9" x14ac:dyDescent="0.3">
      <c r="A2355" s="2"/>
      <c r="H2355" s="3"/>
      <c r="I2355" s="3"/>
    </row>
    <row r="2356" spans="1:9" x14ac:dyDescent="0.3">
      <c r="A2356" s="2"/>
      <c r="H2356" s="3"/>
      <c r="I2356" s="3"/>
    </row>
    <row r="2357" spans="1:9" x14ac:dyDescent="0.3">
      <c r="A2357" s="2"/>
      <c r="H2357" s="3"/>
      <c r="I2357" s="3"/>
    </row>
    <row r="2358" spans="1:9" x14ac:dyDescent="0.3">
      <c r="A2358" s="2"/>
      <c r="H2358" s="3"/>
      <c r="I2358" s="3"/>
    </row>
    <row r="2359" spans="1:9" x14ac:dyDescent="0.3">
      <c r="A2359" s="2"/>
      <c r="H2359" s="3"/>
      <c r="I2359" s="3"/>
    </row>
    <row r="2360" spans="1:9" x14ac:dyDescent="0.3">
      <c r="A2360" s="2"/>
      <c r="H2360" s="3"/>
      <c r="I2360" s="3"/>
    </row>
    <row r="2361" spans="1:9" x14ac:dyDescent="0.3">
      <c r="A2361" s="2"/>
      <c r="H2361" s="3"/>
      <c r="I2361" s="3"/>
    </row>
    <row r="2362" spans="1:9" x14ac:dyDescent="0.3">
      <c r="A2362" s="2"/>
      <c r="H2362" s="3"/>
      <c r="I2362" s="3"/>
    </row>
    <row r="2363" spans="1:9" x14ac:dyDescent="0.3">
      <c r="A2363" s="2"/>
      <c r="H2363" s="3"/>
      <c r="I2363" s="3"/>
    </row>
    <row r="2364" spans="1:9" x14ac:dyDescent="0.3">
      <c r="A2364" s="2"/>
      <c r="H2364" s="3"/>
      <c r="I2364" s="3"/>
    </row>
    <row r="2365" spans="1:9" x14ac:dyDescent="0.3">
      <c r="A2365" s="2"/>
      <c r="H2365" s="3"/>
      <c r="I2365" s="3"/>
    </row>
    <row r="2366" spans="1:9" x14ac:dyDescent="0.3">
      <c r="A2366" s="2"/>
      <c r="H2366" s="3"/>
      <c r="I2366" s="3"/>
    </row>
    <row r="2367" spans="1:9" x14ac:dyDescent="0.3">
      <c r="A2367" s="2"/>
      <c r="H2367" s="3"/>
      <c r="I2367" s="3"/>
    </row>
    <row r="2368" spans="1:9" x14ac:dyDescent="0.3">
      <c r="A2368" s="2"/>
      <c r="H2368" s="3"/>
      <c r="I2368" s="3"/>
    </row>
    <row r="2369" spans="1:9" x14ac:dyDescent="0.3">
      <c r="A2369" s="2"/>
      <c r="H2369" s="3"/>
      <c r="I2369" s="3"/>
    </row>
    <row r="2370" spans="1:9" x14ac:dyDescent="0.3">
      <c r="A2370" s="2"/>
      <c r="H2370" s="3"/>
      <c r="I2370" s="3"/>
    </row>
    <row r="2371" spans="1:9" x14ac:dyDescent="0.3">
      <c r="A2371" s="2"/>
      <c r="H2371" s="3"/>
      <c r="I2371" s="3"/>
    </row>
    <row r="2372" spans="1:9" x14ac:dyDescent="0.3">
      <c r="A2372" s="2"/>
      <c r="H2372" s="3"/>
      <c r="I2372" s="3"/>
    </row>
    <row r="2373" spans="1:9" x14ac:dyDescent="0.3">
      <c r="A2373" s="2"/>
      <c r="H2373" s="3"/>
      <c r="I2373" s="3"/>
    </row>
    <row r="2374" spans="1:9" x14ac:dyDescent="0.3">
      <c r="A2374" s="2"/>
      <c r="H2374" s="3"/>
      <c r="I2374" s="3"/>
    </row>
    <row r="2375" spans="1:9" x14ac:dyDescent="0.3">
      <c r="A2375" s="2"/>
      <c r="H2375" s="3"/>
      <c r="I2375" s="3"/>
    </row>
    <row r="2376" spans="1:9" x14ac:dyDescent="0.3">
      <c r="A2376" s="2"/>
      <c r="H2376" s="3"/>
      <c r="I2376" s="3"/>
    </row>
    <row r="2377" spans="1:9" x14ac:dyDescent="0.3">
      <c r="A2377" s="2"/>
      <c r="H2377" s="3"/>
      <c r="I2377" s="3"/>
    </row>
    <row r="2378" spans="1:9" x14ac:dyDescent="0.3">
      <c r="A2378" s="2"/>
      <c r="H2378" s="3"/>
      <c r="I2378" s="3"/>
    </row>
    <row r="2379" spans="1:9" x14ac:dyDescent="0.3">
      <c r="A2379" s="2"/>
      <c r="H2379" s="3"/>
      <c r="I2379" s="3"/>
    </row>
    <row r="2380" spans="1:9" x14ac:dyDescent="0.3">
      <c r="A2380" s="2"/>
      <c r="H2380" s="3"/>
      <c r="I2380" s="3"/>
    </row>
    <row r="2381" spans="1:9" x14ac:dyDescent="0.3">
      <c r="A2381" s="2"/>
      <c r="H2381" s="3"/>
      <c r="I2381" s="3"/>
    </row>
    <row r="2382" spans="1:9" x14ac:dyDescent="0.3">
      <c r="A2382" s="2"/>
      <c r="H2382" s="3"/>
      <c r="I2382" s="3"/>
    </row>
    <row r="2383" spans="1:9" x14ac:dyDescent="0.3">
      <c r="A2383" s="2"/>
      <c r="H2383" s="3"/>
      <c r="I2383" s="3"/>
    </row>
    <row r="2384" spans="1:9" x14ac:dyDescent="0.3">
      <c r="A2384" s="2"/>
      <c r="H2384" s="3"/>
      <c r="I2384" s="3"/>
    </row>
    <row r="2385" spans="1:9" x14ac:dyDescent="0.3">
      <c r="A2385" s="2"/>
      <c r="H2385" s="3"/>
      <c r="I2385" s="3"/>
    </row>
    <row r="2386" spans="1:9" x14ac:dyDescent="0.3">
      <c r="A2386" s="2"/>
      <c r="H2386" s="3"/>
      <c r="I2386" s="3"/>
    </row>
    <row r="2387" spans="1:9" x14ac:dyDescent="0.3">
      <c r="A2387" s="2"/>
      <c r="H2387" s="3"/>
      <c r="I2387" s="3"/>
    </row>
    <row r="2388" spans="1:9" x14ac:dyDescent="0.3">
      <c r="A2388" s="2"/>
      <c r="H2388" s="3"/>
      <c r="I2388" s="3"/>
    </row>
    <row r="2389" spans="1:9" x14ac:dyDescent="0.3">
      <c r="A2389" s="2"/>
      <c r="H2389" s="3"/>
      <c r="I2389" s="3"/>
    </row>
    <row r="2390" spans="1:9" x14ac:dyDescent="0.3">
      <c r="A2390" s="2"/>
      <c r="H2390" s="3"/>
      <c r="I2390" s="3"/>
    </row>
    <row r="2391" spans="1:9" x14ac:dyDescent="0.3">
      <c r="A2391" s="2"/>
      <c r="H2391" s="3"/>
      <c r="I2391" s="3"/>
    </row>
    <row r="2392" spans="1:9" x14ac:dyDescent="0.3">
      <c r="A2392" s="2"/>
      <c r="H2392" s="3"/>
      <c r="I2392" s="3"/>
    </row>
    <row r="2393" spans="1:9" x14ac:dyDescent="0.3">
      <c r="A2393" s="2"/>
      <c r="H2393" s="3"/>
      <c r="I2393" s="3"/>
    </row>
    <row r="2394" spans="1:9" x14ac:dyDescent="0.3">
      <c r="A2394" s="2"/>
      <c r="H2394" s="3"/>
      <c r="I2394" s="3"/>
    </row>
    <row r="2395" spans="1:9" x14ac:dyDescent="0.3">
      <c r="A2395" s="2"/>
      <c r="H2395" s="3"/>
      <c r="I2395" s="3"/>
    </row>
    <row r="2396" spans="1:9" x14ac:dyDescent="0.3">
      <c r="A2396" s="2"/>
      <c r="H2396" s="3"/>
      <c r="I2396" s="3"/>
    </row>
    <row r="2397" spans="1:9" x14ac:dyDescent="0.3">
      <c r="A2397" s="2"/>
      <c r="H2397" s="3"/>
      <c r="I2397" s="3"/>
    </row>
    <row r="2398" spans="1:9" x14ac:dyDescent="0.3">
      <c r="A2398" s="2"/>
      <c r="H2398" s="3"/>
      <c r="I2398" s="3"/>
    </row>
    <row r="2399" spans="1:9" x14ac:dyDescent="0.3">
      <c r="A2399" s="2"/>
      <c r="H2399" s="3"/>
      <c r="I2399" s="3"/>
    </row>
    <row r="2400" spans="1:9" x14ac:dyDescent="0.3">
      <c r="A2400" s="2"/>
      <c r="H2400" s="3"/>
      <c r="I2400" s="3"/>
    </row>
    <row r="2401" spans="1:9" x14ac:dyDescent="0.3">
      <c r="A2401" s="2"/>
      <c r="H2401" s="3"/>
      <c r="I2401" s="3"/>
    </row>
    <row r="2402" spans="1:9" x14ac:dyDescent="0.3">
      <c r="A2402" s="2"/>
      <c r="H2402" s="3"/>
      <c r="I2402" s="3"/>
    </row>
    <row r="2403" spans="1:9" x14ac:dyDescent="0.3">
      <c r="A2403" s="2"/>
      <c r="H2403" s="3"/>
      <c r="I2403" s="3"/>
    </row>
    <row r="2404" spans="1:9" x14ac:dyDescent="0.3">
      <c r="A2404" s="2"/>
      <c r="H2404" s="3"/>
      <c r="I2404" s="3"/>
    </row>
    <row r="2405" spans="1:9" x14ac:dyDescent="0.3">
      <c r="A2405" s="2"/>
      <c r="H2405" s="3"/>
      <c r="I2405" s="3"/>
    </row>
    <row r="2406" spans="1:9" x14ac:dyDescent="0.3">
      <c r="A2406" s="2"/>
      <c r="H2406" s="3"/>
      <c r="I2406" s="3"/>
    </row>
    <row r="2407" spans="1:9" x14ac:dyDescent="0.3">
      <c r="A2407" s="2"/>
      <c r="H2407" s="3"/>
      <c r="I2407" s="3"/>
    </row>
    <row r="2408" spans="1:9" x14ac:dyDescent="0.3">
      <c r="A2408" s="2"/>
      <c r="H2408" s="3"/>
      <c r="I2408" s="3"/>
    </row>
    <row r="2409" spans="1:9" x14ac:dyDescent="0.3">
      <c r="A2409" s="2"/>
      <c r="H2409" s="3"/>
      <c r="I2409" s="3"/>
    </row>
    <row r="2410" spans="1:9" x14ac:dyDescent="0.3">
      <c r="A2410" s="2"/>
      <c r="H2410" s="3"/>
      <c r="I2410" s="3"/>
    </row>
    <row r="2411" spans="1:9" x14ac:dyDescent="0.3">
      <c r="A2411" s="2"/>
      <c r="H2411" s="3"/>
      <c r="I2411" s="3"/>
    </row>
    <row r="2412" spans="1:9" x14ac:dyDescent="0.3">
      <c r="A2412" s="2"/>
      <c r="H2412" s="3"/>
      <c r="I2412" s="3"/>
    </row>
    <row r="2413" spans="1:9" x14ac:dyDescent="0.3">
      <c r="A2413" s="2"/>
      <c r="H2413" s="3"/>
      <c r="I2413" s="3"/>
    </row>
    <row r="2414" spans="1:9" x14ac:dyDescent="0.3">
      <c r="A2414" s="2"/>
      <c r="H2414" s="3"/>
      <c r="I2414" s="3"/>
    </row>
    <row r="2415" spans="1:9" x14ac:dyDescent="0.3">
      <c r="A2415" s="2"/>
      <c r="H2415" s="3"/>
      <c r="I2415" s="3"/>
    </row>
    <row r="2416" spans="1:9" x14ac:dyDescent="0.3">
      <c r="A2416" s="2"/>
      <c r="H2416" s="3"/>
      <c r="I2416" s="3"/>
    </row>
    <row r="2417" spans="1:9" x14ac:dyDescent="0.3">
      <c r="A2417" s="2"/>
      <c r="H2417" s="3"/>
      <c r="I2417" s="3"/>
    </row>
    <row r="2418" spans="1:9" x14ac:dyDescent="0.3">
      <c r="A2418" s="2"/>
      <c r="H2418" s="3"/>
      <c r="I2418" s="3"/>
    </row>
    <row r="2419" spans="1:9" x14ac:dyDescent="0.3">
      <c r="A2419" s="2"/>
      <c r="H2419" s="3"/>
      <c r="I2419" s="3"/>
    </row>
    <row r="2420" spans="1:9" x14ac:dyDescent="0.3">
      <c r="A2420" s="2"/>
      <c r="H2420" s="3"/>
      <c r="I2420" s="3"/>
    </row>
    <row r="2421" spans="1:9" x14ac:dyDescent="0.3">
      <c r="A2421" s="2"/>
      <c r="H2421" s="3"/>
      <c r="I2421" s="3"/>
    </row>
    <row r="2422" spans="1:9" x14ac:dyDescent="0.3">
      <c r="A2422" s="2"/>
      <c r="H2422" s="3"/>
      <c r="I2422" s="3"/>
    </row>
    <row r="2423" spans="1:9" x14ac:dyDescent="0.3">
      <c r="A2423" s="2"/>
      <c r="H2423" s="3"/>
      <c r="I2423" s="3"/>
    </row>
    <row r="2424" spans="1:9" x14ac:dyDescent="0.3">
      <c r="A2424" s="2"/>
      <c r="H2424" s="3"/>
      <c r="I2424" s="3"/>
    </row>
    <row r="2425" spans="1:9" x14ac:dyDescent="0.3">
      <c r="A2425" s="2"/>
      <c r="H2425" s="3"/>
      <c r="I2425" s="3"/>
    </row>
    <row r="2426" spans="1:9" x14ac:dyDescent="0.3">
      <c r="A2426" s="2"/>
      <c r="H2426" s="3"/>
      <c r="I2426" s="3"/>
    </row>
    <row r="2427" spans="1:9" x14ac:dyDescent="0.3">
      <c r="A2427" s="2"/>
      <c r="H2427" s="3"/>
      <c r="I2427" s="3"/>
    </row>
    <row r="2428" spans="1:9" x14ac:dyDescent="0.3">
      <c r="A2428" s="2"/>
      <c r="H2428" s="3"/>
      <c r="I2428" s="3"/>
    </row>
    <row r="2429" spans="1:9" x14ac:dyDescent="0.3">
      <c r="A2429" s="2"/>
      <c r="H2429" s="3"/>
      <c r="I2429" s="3"/>
    </row>
    <row r="2430" spans="1:9" x14ac:dyDescent="0.3">
      <c r="A2430" s="2"/>
      <c r="H2430" s="3"/>
      <c r="I2430" s="3"/>
    </row>
    <row r="2431" spans="1:9" x14ac:dyDescent="0.3">
      <c r="A2431" s="2"/>
      <c r="H2431" s="3"/>
      <c r="I2431" s="3"/>
    </row>
    <row r="2432" spans="1:9" x14ac:dyDescent="0.3">
      <c r="A2432" s="2"/>
      <c r="H2432" s="3"/>
      <c r="I2432" s="3"/>
    </row>
    <row r="2433" spans="1:9" x14ac:dyDescent="0.3">
      <c r="A2433" s="2"/>
      <c r="H2433" s="3"/>
      <c r="I2433" s="3"/>
    </row>
    <row r="2434" spans="1:9" x14ac:dyDescent="0.3">
      <c r="A2434" s="2"/>
      <c r="H2434" s="3"/>
      <c r="I2434" s="3"/>
    </row>
    <row r="2435" spans="1:9" x14ac:dyDescent="0.3">
      <c r="A2435" s="2"/>
      <c r="H2435" s="3"/>
      <c r="I2435" s="3"/>
    </row>
    <row r="2436" spans="1:9" x14ac:dyDescent="0.3">
      <c r="A2436" s="2"/>
      <c r="H2436" s="3"/>
      <c r="I2436" s="3"/>
    </row>
    <row r="2437" spans="1:9" x14ac:dyDescent="0.3">
      <c r="A2437" s="2"/>
      <c r="H2437" s="3"/>
      <c r="I2437" s="3"/>
    </row>
    <row r="2438" spans="1:9" x14ac:dyDescent="0.3">
      <c r="A2438" s="2"/>
      <c r="H2438" s="3"/>
      <c r="I2438" s="3"/>
    </row>
    <row r="2439" spans="1:9" x14ac:dyDescent="0.3">
      <c r="A2439" s="2"/>
      <c r="H2439" s="3"/>
      <c r="I2439" s="3"/>
    </row>
    <row r="2440" spans="1:9" x14ac:dyDescent="0.3">
      <c r="A2440" s="2"/>
      <c r="H2440" s="3"/>
      <c r="I2440" s="3"/>
    </row>
    <row r="2441" spans="1:9" x14ac:dyDescent="0.3">
      <c r="A2441" s="2"/>
      <c r="H2441" s="3"/>
      <c r="I2441" s="3"/>
    </row>
    <row r="2442" spans="1:9" x14ac:dyDescent="0.3">
      <c r="A2442" s="2"/>
      <c r="H2442" s="3"/>
      <c r="I2442" s="3"/>
    </row>
    <row r="2443" spans="1:9" x14ac:dyDescent="0.3">
      <c r="A2443" s="2"/>
      <c r="H2443" s="3"/>
      <c r="I2443" s="3"/>
    </row>
    <row r="2444" spans="1:9" x14ac:dyDescent="0.3">
      <c r="A2444" s="2"/>
      <c r="H2444" s="3"/>
      <c r="I2444" s="3"/>
    </row>
    <row r="2445" spans="1:9" x14ac:dyDescent="0.3">
      <c r="A2445" s="2"/>
      <c r="H2445" s="3"/>
      <c r="I2445" s="3"/>
    </row>
    <row r="2446" spans="1:9" x14ac:dyDescent="0.3">
      <c r="A2446" s="2"/>
      <c r="H2446" s="3"/>
      <c r="I2446" s="3"/>
    </row>
    <row r="2447" spans="1:9" x14ac:dyDescent="0.3">
      <c r="A2447" s="2"/>
      <c r="H2447" s="3"/>
      <c r="I2447" s="3"/>
    </row>
    <row r="2448" spans="1:9" x14ac:dyDescent="0.3">
      <c r="A2448" s="2"/>
      <c r="H2448" s="3"/>
      <c r="I2448" s="3"/>
    </row>
    <row r="2449" spans="1:9" x14ac:dyDescent="0.3">
      <c r="A2449" s="2"/>
      <c r="H2449" s="3"/>
      <c r="I2449" s="3"/>
    </row>
    <row r="2450" spans="1:9" x14ac:dyDescent="0.3">
      <c r="A2450" s="2"/>
      <c r="H2450" s="3"/>
      <c r="I2450" s="3"/>
    </row>
    <row r="2451" spans="1:9" x14ac:dyDescent="0.3">
      <c r="A2451" s="2"/>
      <c r="H2451" s="3"/>
      <c r="I2451" s="3"/>
    </row>
    <row r="2452" spans="1:9" x14ac:dyDescent="0.3">
      <c r="A2452" s="2"/>
      <c r="H2452" s="3"/>
      <c r="I2452" s="3"/>
    </row>
    <row r="2453" spans="1:9" x14ac:dyDescent="0.3">
      <c r="A2453" s="2"/>
      <c r="H2453" s="3"/>
      <c r="I2453" s="3"/>
    </row>
    <row r="2454" spans="1:9" x14ac:dyDescent="0.3">
      <c r="A2454" s="2"/>
      <c r="H2454" s="3"/>
      <c r="I2454" s="3"/>
    </row>
    <row r="2455" spans="1:9" x14ac:dyDescent="0.3">
      <c r="A2455" s="2"/>
      <c r="H2455" s="3"/>
      <c r="I2455" s="3"/>
    </row>
    <row r="2456" spans="1:9" x14ac:dyDescent="0.3">
      <c r="A2456" s="2"/>
      <c r="H2456" s="3"/>
      <c r="I2456" s="3"/>
    </row>
    <row r="2457" spans="1:9" x14ac:dyDescent="0.3">
      <c r="A2457" s="2"/>
      <c r="H2457" s="3"/>
      <c r="I2457" s="3"/>
    </row>
    <row r="2458" spans="1:9" x14ac:dyDescent="0.3">
      <c r="A2458" s="2"/>
      <c r="H2458" s="3"/>
      <c r="I2458" s="3"/>
    </row>
    <row r="2459" spans="1:9" x14ac:dyDescent="0.3">
      <c r="A2459" s="2"/>
      <c r="H2459" s="3"/>
      <c r="I2459" s="3"/>
    </row>
    <row r="2460" spans="1:9" x14ac:dyDescent="0.3">
      <c r="A2460" s="2"/>
      <c r="H2460" s="3"/>
      <c r="I2460" s="3"/>
    </row>
    <row r="2461" spans="1:9" x14ac:dyDescent="0.3">
      <c r="A2461" s="2"/>
      <c r="H2461" s="3"/>
      <c r="I2461" s="3"/>
    </row>
    <row r="2462" spans="1:9" x14ac:dyDescent="0.3">
      <c r="A2462" s="2"/>
      <c r="H2462" s="3"/>
      <c r="I2462" s="3"/>
    </row>
    <row r="2463" spans="1:9" x14ac:dyDescent="0.3">
      <c r="A2463" s="2"/>
      <c r="H2463" s="3"/>
      <c r="I2463" s="3"/>
    </row>
    <row r="2464" spans="1:9" x14ac:dyDescent="0.3">
      <c r="A2464" s="2"/>
      <c r="H2464" s="3"/>
      <c r="I2464" s="3"/>
    </row>
    <row r="2465" spans="1:9" x14ac:dyDescent="0.3">
      <c r="A2465" s="2"/>
      <c r="H2465" s="3"/>
      <c r="I2465" s="3"/>
    </row>
    <row r="2466" spans="1:9" x14ac:dyDescent="0.3">
      <c r="A2466" s="2"/>
      <c r="H2466" s="3"/>
      <c r="I2466" s="3"/>
    </row>
    <row r="2467" spans="1:9" x14ac:dyDescent="0.3">
      <c r="A2467" s="2"/>
      <c r="H2467" s="3"/>
      <c r="I2467" s="3"/>
    </row>
    <row r="2468" spans="1:9" x14ac:dyDescent="0.3">
      <c r="A2468" s="2"/>
      <c r="H2468" s="3"/>
      <c r="I2468" s="3"/>
    </row>
    <row r="2469" spans="1:9" x14ac:dyDescent="0.3">
      <c r="A2469" s="2"/>
      <c r="H2469" s="3"/>
      <c r="I2469" s="3"/>
    </row>
    <row r="2470" spans="1:9" x14ac:dyDescent="0.3">
      <c r="A2470" s="2"/>
      <c r="H2470" s="3"/>
      <c r="I2470" s="3"/>
    </row>
    <row r="2471" spans="1:9" x14ac:dyDescent="0.3">
      <c r="A2471" s="2"/>
      <c r="H2471" s="3"/>
      <c r="I2471" s="3"/>
    </row>
    <row r="2472" spans="1:9" x14ac:dyDescent="0.3">
      <c r="A2472" s="2"/>
      <c r="H2472" s="3"/>
      <c r="I2472" s="3"/>
    </row>
    <row r="2473" spans="1:9" x14ac:dyDescent="0.3">
      <c r="A2473" s="2"/>
      <c r="H2473" s="3"/>
      <c r="I2473" s="3"/>
    </row>
    <row r="2474" spans="1:9" x14ac:dyDescent="0.3">
      <c r="A2474" s="2"/>
      <c r="H2474" s="3"/>
      <c r="I2474" s="3"/>
    </row>
    <row r="2475" spans="1:9" x14ac:dyDescent="0.3">
      <c r="A2475" s="2"/>
      <c r="H2475" s="3"/>
      <c r="I2475" s="3"/>
    </row>
    <row r="2476" spans="1:9" x14ac:dyDescent="0.3">
      <c r="A2476" s="2"/>
      <c r="H2476" s="3"/>
      <c r="I2476" s="3"/>
    </row>
    <row r="2477" spans="1:9" x14ac:dyDescent="0.3">
      <c r="A2477" s="2"/>
      <c r="H2477" s="3"/>
      <c r="I2477" s="3"/>
    </row>
    <row r="2478" spans="1:9" x14ac:dyDescent="0.3">
      <c r="A2478" s="2"/>
      <c r="H2478" s="3"/>
      <c r="I2478" s="3"/>
    </row>
    <row r="2479" spans="1:9" x14ac:dyDescent="0.3">
      <c r="A2479" s="2"/>
      <c r="H2479" s="3"/>
      <c r="I2479" s="3"/>
    </row>
    <row r="2480" spans="1:9" x14ac:dyDescent="0.3">
      <c r="A2480" s="2"/>
      <c r="H2480" s="3"/>
      <c r="I2480" s="3"/>
    </row>
    <row r="2481" spans="1:9" x14ac:dyDescent="0.3">
      <c r="A2481" s="2"/>
      <c r="H2481" s="3"/>
      <c r="I2481" s="3"/>
    </row>
    <row r="2482" spans="1:9" x14ac:dyDescent="0.3">
      <c r="A2482" s="2"/>
      <c r="H2482" s="3"/>
      <c r="I2482" s="3"/>
    </row>
    <row r="2483" spans="1:9" x14ac:dyDescent="0.3">
      <c r="A2483" s="2"/>
      <c r="H2483" s="3"/>
      <c r="I2483" s="3"/>
    </row>
    <row r="2484" spans="1:9" x14ac:dyDescent="0.3">
      <c r="A2484" s="2"/>
      <c r="H2484" s="3"/>
      <c r="I2484" s="3"/>
    </row>
    <row r="2485" spans="1:9" x14ac:dyDescent="0.3">
      <c r="A2485" s="2"/>
      <c r="H2485" s="3"/>
      <c r="I2485" s="3"/>
    </row>
    <row r="2486" spans="1:9" x14ac:dyDescent="0.3">
      <c r="A2486" s="2"/>
      <c r="H2486" s="3"/>
      <c r="I2486" s="3"/>
    </row>
    <row r="2487" spans="1:9" x14ac:dyDescent="0.3">
      <c r="A2487" s="2"/>
      <c r="H2487" s="3"/>
      <c r="I2487" s="3"/>
    </row>
    <row r="2488" spans="1:9" x14ac:dyDescent="0.3">
      <c r="A2488" s="2"/>
      <c r="H2488" s="3"/>
      <c r="I2488" s="3"/>
    </row>
    <row r="2489" spans="1:9" x14ac:dyDescent="0.3">
      <c r="A2489" s="2"/>
      <c r="H2489" s="3"/>
      <c r="I2489" s="3"/>
    </row>
    <row r="2490" spans="1:9" x14ac:dyDescent="0.3">
      <c r="A2490" s="2"/>
      <c r="H2490" s="3"/>
      <c r="I2490" s="3"/>
    </row>
    <row r="2491" spans="1:9" x14ac:dyDescent="0.3">
      <c r="A2491" s="2"/>
      <c r="H2491" s="3"/>
      <c r="I2491" s="3"/>
    </row>
    <row r="2492" spans="1:9" x14ac:dyDescent="0.3">
      <c r="A2492" s="2"/>
      <c r="H2492" s="3"/>
      <c r="I2492" s="3"/>
    </row>
    <row r="2493" spans="1:9" x14ac:dyDescent="0.3">
      <c r="A2493" s="2"/>
      <c r="H2493" s="3"/>
      <c r="I2493" s="3"/>
    </row>
    <row r="2494" spans="1:9" x14ac:dyDescent="0.3">
      <c r="A2494" s="2"/>
      <c r="H2494" s="3"/>
      <c r="I2494" s="3"/>
    </row>
    <row r="2495" spans="1:9" x14ac:dyDescent="0.3">
      <c r="A2495" s="2"/>
      <c r="H2495" s="3"/>
      <c r="I2495" s="3"/>
    </row>
    <row r="2496" spans="1:9" x14ac:dyDescent="0.3">
      <c r="A2496" s="2"/>
      <c r="H2496" s="3"/>
      <c r="I2496" s="3"/>
    </row>
    <row r="2497" spans="1:9" x14ac:dyDescent="0.3">
      <c r="A2497" s="2"/>
      <c r="H2497" s="3"/>
      <c r="I2497" s="3"/>
    </row>
    <row r="2498" spans="1:9" x14ac:dyDescent="0.3">
      <c r="A2498" s="2"/>
      <c r="H2498" s="3"/>
      <c r="I2498" s="3"/>
    </row>
    <row r="2499" spans="1:9" x14ac:dyDescent="0.3">
      <c r="A2499" s="2"/>
      <c r="H2499" s="3"/>
      <c r="I2499" s="3"/>
    </row>
    <row r="2500" spans="1:9" x14ac:dyDescent="0.3">
      <c r="A2500" s="2"/>
      <c r="H2500" s="3"/>
      <c r="I2500" s="3"/>
    </row>
    <row r="2501" spans="1:9" x14ac:dyDescent="0.3">
      <c r="A2501" s="2"/>
      <c r="H2501" s="3"/>
      <c r="I2501" s="3"/>
    </row>
    <row r="2502" spans="1:9" x14ac:dyDescent="0.3">
      <c r="A2502" s="2"/>
      <c r="H2502" s="3"/>
      <c r="I2502" s="3"/>
    </row>
    <row r="2503" spans="1:9" x14ac:dyDescent="0.3">
      <c r="A2503" s="2"/>
      <c r="H2503" s="3"/>
      <c r="I2503" s="3"/>
    </row>
    <row r="2504" spans="1:9" x14ac:dyDescent="0.3">
      <c r="A2504" s="2"/>
      <c r="H2504" s="3"/>
      <c r="I2504" s="3"/>
    </row>
    <row r="2505" spans="1:9" x14ac:dyDescent="0.3">
      <c r="A2505" s="2"/>
      <c r="H2505" s="3"/>
      <c r="I2505" s="3"/>
    </row>
    <row r="2506" spans="1:9" x14ac:dyDescent="0.3">
      <c r="A2506" s="2"/>
      <c r="H2506" s="3"/>
      <c r="I2506" s="3"/>
    </row>
    <row r="2507" spans="1:9" x14ac:dyDescent="0.3">
      <c r="A2507" s="2"/>
      <c r="H2507" s="3"/>
      <c r="I2507" s="3"/>
    </row>
    <row r="2508" spans="1:9" x14ac:dyDescent="0.3">
      <c r="A2508" s="2"/>
      <c r="H2508" s="3"/>
      <c r="I2508" s="3"/>
    </row>
    <row r="2509" spans="1:9" x14ac:dyDescent="0.3">
      <c r="A2509" s="2"/>
      <c r="H2509" s="3"/>
      <c r="I2509" s="3"/>
    </row>
    <row r="2510" spans="1:9" x14ac:dyDescent="0.3">
      <c r="A2510" s="2"/>
      <c r="H2510" s="3"/>
      <c r="I2510" s="3"/>
    </row>
    <row r="2511" spans="1:9" x14ac:dyDescent="0.3">
      <c r="A2511" s="2"/>
      <c r="H2511" s="3"/>
      <c r="I2511" s="3"/>
    </row>
    <row r="2512" spans="1:9" x14ac:dyDescent="0.3">
      <c r="A2512" s="2"/>
      <c r="H2512" s="3"/>
      <c r="I2512" s="3"/>
    </row>
    <row r="2513" spans="1:9" x14ac:dyDescent="0.3">
      <c r="A2513" s="2"/>
      <c r="H2513" s="3"/>
      <c r="I2513" s="3"/>
    </row>
    <row r="2514" spans="1:9" x14ac:dyDescent="0.3">
      <c r="A2514" s="2"/>
      <c r="H2514" s="3"/>
      <c r="I2514" s="3"/>
    </row>
    <row r="2515" spans="1:9" x14ac:dyDescent="0.3">
      <c r="A2515" s="2"/>
      <c r="H2515" s="3"/>
      <c r="I2515" s="3"/>
    </row>
    <row r="2516" spans="1:9" x14ac:dyDescent="0.3">
      <c r="A2516" s="2"/>
      <c r="H2516" s="3"/>
      <c r="I2516" s="3"/>
    </row>
    <row r="2517" spans="1:9" x14ac:dyDescent="0.3">
      <c r="A2517" s="2"/>
      <c r="H2517" s="3"/>
      <c r="I2517" s="3"/>
    </row>
    <row r="2518" spans="1:9" x14ac:dyDescent="0.3">
      <c r="A2518" s="2"/>
      <c r="H2518" s="3"/>
      <c r="I2518" s="3"/>
    </row>
    <row r="2519" spans="1:9" x14ac:dyDescent="0.3">
      <c r="A2519" s="2"/>
      <c r="H2519" s="3"/>
      <c r="I2519" s="3"/>
    </row>
    <row r="2520" spans="1:9" x14ac:dyDescent="0.3">
      <c r="A2520" s="2"/>
      <c r="H2520" s="3"/>
      <c r="I2520" s="3"/>
    </row>
    <row r="2521" spans="1:9" x14ac:dyDescent="0.3">
      <c r="A2521" s="2"/>
      <c r="H2521" s="3"/>
      <c r="I2521" s="3"/>
    </row>
    <row r="2522" spans="1:9" x14ac:dyDescent="0.3">
      <c r="A2522" s="2"/>
      <c r="H2522" s="3"/>
      <c r="I2522" s="3"/>
    </row>
    <row r="2523" spans="1:9" x14ac:dyDescent="0.3">
      <c r="A2523" s="2"/>
      <c r="H2523" s="3"/>
      <c r="I2523" s="3"/>
    </row>
    <row r="2524" spans="1:9" x14ac:dyDescent="0.3">
      <c r="A2524" s="2"/>
      <c r="H2524" s="3"/>
      <c r="I2524" s="3"/>
    </row>
    <row r="2525" spans="1:9" x14ac:dyDescent="0.3">
      <c r="A2525" s="2"/>
      <c r="H2525" s="3"/>
      <c r="I2525" s="3"/>
    </row>
    <row r="2526" spans="1:9" x14ac:dyDescent="0.3">
      <c r="A2526" s="2"/>
      <c r="H2526" s="3"/>
      <c r="I2526" s="3"/>
    </row>
    <row r="2527" spans="1:9" x14ac:dyDescent="0.3">
      <c r="A2527" s="2"/>
      <c r="H2527" s="3"/>
      <c r="I2527" s="3"/>
    </row>
    <row r="2528" spans="1:9" x14ac:dyDescent="0.3">
      <c r="A2528" s="2"/>
      <c r="H2528" s="3"/>
      <c r="I2528" s="3"/>
    </row>
    <row r="2529" spans="1:9" x14ac:dyDescent="0.3">
      <c r="A2529" s="2"/>
      <c r="H2529" s="3"/>
      <c r="I2529" s="3"/>
    </row>
    <row r="2530" spans="1:9" x14ac:dyDescent="0.3">
      <c r="A2530" s="2"/>
      <c r="H2530" s="3"/>
      <c r="I2530" s="3"/>
    </row>
    <row r="2531" spans="1:9" x14ac:dyDescent="0.3">
      <c r="A2531" s="2"/>
      <c r="H2531" s="3"/>
      <c r="I2531" s="3"/>
    </row>
    <row r="2532" spans="1:9" x14ac:dyDescent="0.3">
      <c r="A2532" s="2"/>
      <c r="H2532" s="3"/>
      <c r="I2532" s="3"/>
    </row>
    <row r="2533" spans="1:9" x14ac:dyDescent="0.3">
      <c r="A2533" s="2"/>
      <c r="H2533" s="3"/>
      <c r="I2533" s="3"/>
    </row>
    <row r="2534" spans="1:9" x14ac:dyDescent="0.3">
      <c r="A2534" s="2"/>
      <c r="H2534" s="3"/>
      <c r="I2534" s="3"/>
    </row>
    <row r="2535" spans="1:9" x14ac:dyDescent="0.3">
      <c r="A2535" s="2"/>
      <c r="H2535" s="3"/>
      <c r="I2535" s="3"/>
    </row>
    <row r="2536" spans="1:9" x14ac:dyDescent="0.3">
      <c r="A2536" s="2"/>
      <c r="H2536" s="3"/>
      <c r="I2536" s="3"/>
    </row>
    <row r="2537" spans="1:9" x14ac:dyDescent="0.3">
      <c r="A2537" s="2"/>
      <c r="H2537" s="3"/>
      <c r="I2537" s="3"/>
    </row>
    <row r="2538" spans="1:9" x14ac:dyDescent="0.3">
      <c r="A2538" s="2"/>
      <c r="H2538" s="3"/>
      <c r="I2538" s="3"/>
    </row>
    <row r="2539" spans="1:9" x14ac:dyDescent="0.3">
      <c r="A2539" s="2"/>
      <c r="H2539" s="3"/>
      <c r="I2539" s="3"/>
    </row>
    <row r="2540" spans="1:9" x14ac:dyDescent="0.3">
      <c r="A2540" s="2"/>
      <c r="H2540" s="3"/>
      <c r="I2540" s="3"/>
    </row>
    <row r="2541" spans="1:9" x14ac:dyDescent="0.3">
      <c r="A2541" s="2"/>
      <c r="H2541" s="3"/>
      <c r="I2541" s="3"/>
    </row>
    <row r="2542" spans="1:9" x14ac:dyDescent="0.3">
      <c r="A2542" s="2"/>
      <c r="H2542" s="3"/>
      <c r="I2542" s="3"/>
    </row>
    <row r="2543" spans="1:9" x14ac:dyDescent="0.3">
      <c r="A2543" s="2"/>
      <c r="H2543" s="3"/>
      <c r="I2543" s="3"/>
    </row>
    <row r="2544" spans="1:9" x14ac:dyDescent="0.3">
      <c r="A2544" s="2"/>
      <c r="H2544" s="3"/>
      <c r="I2544" s="3"/>
    </row>
    <row r="2545" spans="1:9" x14ac:dyDescent="0.3">
      <c r="A2545" s="2"/>
      <c r="H2545" s="3"/>
      <c r="I2545" s="3"/>
    </row>
    <row r="2546" spans="1:9" x14ac:dyDescent="0.3">
      <c r="A2546" s="2"/>
      <c r="H2546" s="3"/>
      <c r="I2546" s="3"/>
    </row>
    <row r="2547" spans="1:9" x14ac:dyDescent="0.3">
      <c r="A2547" s="2"/>
      <c r="H2547" s="3"/>
      <c r="I2547" s="3"/>
    </row>
    <row r="2548" spans="1:9" x14ac:dyDescent="0.3">
      <c r="A2548" s="2"/>
      <c r="H2548" s="3"/>
      <c r="I2548" s="3"/>
    </row>
    <row r="2549" spans="1:9" x14ac:dyDescent="0.3">
      <c r="A2549" s="2"/>
      <c r="H2549" s="3"/>
      <c r="I2549" s="3"/>
    </row>
    <row r="2550" spans="1:9" x14ac:dyDescent="0.3">
      <c r="A2550" s="2"/>
      <c r="H2550" s="3"/>
      <c r="I2550" s="3"/>
    </row>
    <row r="2551" spans="1:9" x14ac:dyDescent="0.3">
      <c r="A2551" s="2"/>
      <c r="H2551" s="3"/>
      <c r="I2551" s="3"/>
    </row>
    <row r="2552" spans="1:9" x14ac:dyDescent="0.3">
      <c r="A2552" s="2"/>
      <c r="H2552" s="3"/>
      <c r="I2552" s="3"/>
    </row>
    <row r="2553" spans="1:9" x14ac:dyDescent="0.3">
      <c r="A2553" s="2"/>
      <c r="H2553" s="3"/>
      <c r="I2553" s="3"/>
    </row>
    <row r="2554" spans="1:9" x14ac:dyDescent="0.3">
      <c r="A2554" s="2"/>
      <c r="H2554" s="3"/>
      <c r="I2554" s="3"/>
    </row>
    <row r="2555" spans="1:9" x14ac:dyDescent="0.3">
      <c r="A2555" s="2"/>
      <c r="H2555" s="3"/>
      <c r="I2555" s="3"/>
    </row>
    <row r="2556" spans="1:9" x14ac:dyDescent="0.3">
      <c r="A2556" s="2"/>
      <c r="H2556" s="3"/>
      <c r="I2556" s="3"/>
    </row>
    <row r="2557" spans="1:9" x14ac:dyDescent="0.3">
      <c r="A2557" s="2"/>
      <c r="H2557" s="3"/>
      <c r="I2557" s="3"/>
    </row>
    <row r="2558" spans="1:9" x14ac:dyDescent="0.3">
      <c r="A2558" s="2"/>
      <c r="H2558" s="3"/>
      <c r="I2558" s="3"/>
    </row>
    <row r="2559" spans="1:9" x14ac:dyDescent="0.3">
      <c r="A2559" s="2"/>
      <c r="H2559" s="3"/>
      <c r="I2559" s="3"/>
    </row>
    <row r="2560" spans="1:9" x14ac:dyDescent="0.3">
      <c r="A2560" s="2"/>
      <c r="H2560" s="3"/>
      <c r="I2560" s="3"/>
    </row>
    <row r="2561" spans="1:9" x14ac:dyDescent="0.3">
      <c r="A2561" s="2"/>
      <c r="H2561" s="3"/>
      <c r="I2561" s="3"/>
    </row>
    <row r="2562" spans="1:9" x14ac:dyDescent="0.3">
      <c r="A2562" s="2"/>
      <c r="H2562" s="3"/>
      <c r="I2562" s="3"/>
    </row>
    <row r="2563" spans="1:9" x14ac:dyDescent="0.3">
      <c r="A2563" s="2"/>
      <c r="H2563" s="3"/>
      <c r="I2563" s="3"/>
    </row>
    <row r="2564" spans="1:9" x14ac:dyDescent="0.3">
      <c r="A2564" s="2"/>
      <c r="H2564" s="3"/>
      <c r="I2564" s="3"/>
    </row>
    <row r="2565" spans="1:9" x14ac:dyDescent="0.3">
      <c r="A2565" s="2"/>
      <c r="H2565" s="3"/>
      <c r="I2565" s="3"/>
    </row>
    <row r="2566" spans="1:9" x14ac:dyDescent="0.3">
      <c r="A2566" s="2"/>
      <c r="H2566" s="3"/>
      <c r="I2566" s="3"/>
    </row>
    <row r="2567" spans="1:9" x14ac:dyDescent="0.3">
      <c r="A2567" s="2"/>
      <c r="H2567" s="3"/>
      <c r="I2567" s="3"/>
    </row>
    <row r="2568" spans="1:9" x14ac:dyDescent="0.3">
      <c r="A2568" s="2"/>
      <c r="H2568" s="3"/>
      <c r="I2568" s="3"/>
    </row>
    <row r="2569" spans="1:9" x14ac:dyDescent="0.3">
      <c r="A2569" s="2"/>
      <c r="H2569" s="3"/>
      <c r="I2569" s="3"/>
    </row>
    <row r="2570" spans="1:9" x14ac:dyDescent="0.3">
      <c r="A2570" s="2"/>
      <c r="H2570" s="3"/>
      <c r="I2570" s="3"/>
    </row>
    <row r="2571" spans="1:9" x14ac:dyDescent="0.3">
      <c r="A2571" s="2"/>
      <c r="H2571" s="3"/>
      <c r="I2571" s="3"/>
    </row>
    <row r="2572" spans="1:9" x14ac:dyDescent="0.3">
      <c r="A2572" s="2"/>
      <c r="H2572" s="3"/>
      <c r="I2572" s="3"/>
    </row>
    <row r="2573" spans="1:9" x14ac:dyDescent="0.3">
      <c r="A2573" s="2"/>
      <c r="H2573" s="3"/>
      <c r="I2573" s="3"/>
    </row>
    <row r="2574" spans="1:9" x14ac:dyDescent="0.3">
      <c r="A2574" s="2"/>
      <c r="H2574" s="3"/>
      <c r="I2574" s="3"/>
    </row>
    <row r="2575" spans="1:9" x14ac:dyDescent="0.3">
      <c r="A2575" s="2"/>
      <c r="H2575" s="3"/>
      <c r="I2575" s="3"/>
    </row>
    <row r="2576" spans="1:9" x14ac:dyDescent="0.3">
      <c r="A2576" s="2"/>
      <c r="H2576" s="3"/>
      <c r="I2576" s="3"/>
    </row>
    <row r="2577" spans="1:9" x14ac:dyDescent="0.3">
      <c r="A2577" s="2"/>
      <c r="H2577" s="3"/>
      <c r="I2577" s="3"/>
    </row>
    <row r="2578" spans="1:9" x14ac:dyDescent="0.3">
      <c r="A2578" s="2"/>
      <c r="H2578" s="3"/>
      <c r="I2578" s="3"/>
    </row>
    <row r="2579" spans="1:9" x14ac:dyDescent="0.3">
      <c r="A2579" s="2"/>
      <c r="H2579" s="3"/>
      <c r="I2579" s="3"/>
    </row>
    <row r="2580" spans="1:9" x14ac:dyDescent="0.3">
      <c r="A2580" s="2"/>
      <c r="H2580" s="3"/>
      <c r="I2580" s="3"/>
    </row>
    <row r="2581" spans="1:9" x14ac:dyDescent="0.3">
      <c r="A2581" s="2"/>
      <c r="H2581" s="3"/>
      <c r="I2581" s="3"/>
    </row>
    <row r="2582" spans="1:9" x14ac:dyDescent="0.3">
      <c r="A2582" s="2"/>
      <c r="H2582" s="3"/>
      <c r="I2582" s="3"/>
    </row>
    <row r="2583" spans="1:9" x14ac:dyDescent="0.3">
      <c r="A2583" s="2"/>
      <c r="H2583" s="3"/>
      <c r="I2583" s="3"/>
    </row>
    <row r="2584" spans="1:9" x14ac:dyDescent="0.3">
      <c r="A2584" s="2"/>
      <c r="H2584" s="3"/>
      <c r="I2584" s="3"/>
    </row>
    <row r="2585" spans="1:9" x14ac:dyDescent="0.3">
      <c r="A2585" s="2"/>
      <c r="H2585" s="3"/>
      <c r="I2585" s="3"/>
    </row>
    <row r="2586" spans="1:9" x14ac:dyDescent="0.3">
      <c r="A2586" s="2"/>
      <c r="H2586" s="3"/>
      <c r="I2586" s="3"/>
    </row>
    <row r="2587" spans="1:9" x14ac:dyDescent="0.3">
      <c r="A2587" s="2"/>
      <c r="H2587" s="3"/>
      <c r="I2587" s="3"/>
    </row>
    <row r="2588" spans="1:9" x14ac:dyDescent="0.3">
      <c r="A2588" s="2"/>
      <c r="H2588" s="3"/>
      <c r="I2588" s="3"/>
    </row>
    <row r="2589" spans="1:9" x14ac:dyDescent="0.3">
      <c r="A2589" s="2"/>
      <c r="H2589" s="3"/>
      <c r="I2589" s="3"/>
    </row>
    <row r="2590" spans="1:9" x14ac:dyDescent="0.3">
      <c r="A2590" s="2"/>
      <c r="H2590" s="3"/>
      <c r="I2590" s="3"/>
    </row>
    <row r="2591" spans="1:9" x14ac:dyDescent="0.3">
      <c r="A2591" s="2"/>
      <c r="H2591" s="3"/>
      <c r="I2591" s="3"/>
    </row>
    <row r="2592" spans="1:9" x14ac:dyDescent="0.3">
      <c r="A2592" s="2"/>
      <c r="H2592" s="3"/>
      <c r="I2592" s="3"/>
    </row>
    <row r="2593" spans="1:9" x14ac:dyDescent="0.3">
      <c r="A2593" s="2"/>
      <c r="H2593" s="3"/>
      <c r="I2593" s="3"/>
    </row>
    <row r="2594" spans="1:9" x14ac:dyDescent="0.3">
      <c r="A2594" s="2"/>
      <c r="H2594" s="3"/>
      <c r="I2594" s="3"/>
    </row>
    <row r="2595" spans="1:9" x14ac:dyDescent="0.3">
      <c r="A2595" s="2"/>
      <c r="H2595" s="3"/>
      <c r="I2595" s="3"/>
    </row>
    <row r="2596" spans="1:9" x14ac:dyDescent="0.3">
      <c r="A2596" s="2"/>
      <c r="H2596" s="3"/>
      <c r="I2596" s="3"/>
    </row>
    <row r="2597" spans="1:9" x14ac:dyDescent="0.3">
      <c r="A2597" s="2"/>
      <c r="H2597" s="3"/>
      <c r="I2597" s="3"/>
    </row>
    <row r="2598" spans="1:9" x14ac:dyDescent="0.3">
      <c r="A2598" s="2"/>
      <c r="H2598" s="3"/>
      <c r="I2598" s="3"/>
    </row>
    <row r="2599" spans="1:9" x14ac:dyDescent="0.3">
      <c r="A2599" s="2"/>
      <c r="H2599" s="3"/>
      <c r="I2599" s="3"/>
    </row>
    <row r="2600" spans="1:9" x14ac:dyDescent="0.3">
      <c r="A2600" s="2"/>
      <c r="H2600" s="3"/>
      <c r="I2600" s="3"/>
    </row>
    <row r="2601" spans="1:9" x14ac:dyDescent="0.3">
      <c r="A2601" s="2"/>
      <c r="H2601" s="3"/>
      <c r="I2601" s="3"/>
    </row>
    <row r="2602" spans="1:9" x14ac:dyDescent="0.3">
      <c r="A2602" s="2"/>
      <c r="H2602" s="3"/>
      <c r="I2602" s="3"/>
    </row>
    <row r="2603" spans="1:9" x14ac:dyDescent="0.3">
      <c r="A2603" s="2"/>
      <c r="H2603" s="3"/>
      <c r="I2603" s="3"/>
    </row>
    <row r="2604" spans="1:9" x14ac:dyDescent="0.3">
      <c r="A2604" s="2"/>
      <c r="H2604" s="3"/>
      <c r="I2604" s="3"/>
    </row>
    <row r="2605" spans="1:9" x14ac:dyDescent="0.3">
      <c r="A2605" s="2"/>
      <c r="H2605" s="3"/>
      <c r="I2605" s="3"/>
    </row>
    <row r="2606" spans="1:9" x14ac:dyDescent="0.3">
      <c r="A2606" s="2"/>
      <c r="H2606" s="3"/>
      <c r="I2606" s="3"/>
    </row>
    <row r="2607" spans="1:9" x14ac:dyDescent="0.3">
      <c r="A2607" s="2"/>
      <c r="H2607" s="3"/>
      <c r="I2607" s="3"/>
    </row>
    <row r="2608" spans="1:9" x14ac:dyDescent="0.3">
      <c r="A2608" s="2"/>
      <c r="H2608" s="3"/>
      <c r="I2608" s="3"/>
    </row>
    <row r="2609" spans="1:9" x14ac:dyDescent="0.3">
      <c r="A2609" s="2"/>
      <c r="H2609" s="3"/>
      <c r="I2609" s="3"/>
    </row>
    <row r="2610" spans="1:9" x14ac:dyDescent="0.3">
      <c r="A2610" s="2"/>
      <c r="H2610" s="3"/>
      <c r="I2610" s="3"/>
    </row>
    <row r="2611" spans="1:9" x14ac:dyDescent="0.3">
      <c r="A2611" s="2"/>
      <c r="H2611" s="3"/>
      <c r="I2611" s="3"/>
    </row>
    <row r="2612" spans="1:9" x14ac:dyDescent="0.3">
      <c r="A2612" s="2"/>
      <c r="H2612" s="3"/>
      <c r="I2612" s="3"/>
    </row>
    <row r="2613" spans="1:9" x14ac:dyDescent="0.3">
      <c r="A2613" s="2"/>
      <c r="H2613" s="3"/>
      <c r="I2613" s="3"/>
    </row>
    <row r="2614" spans="1:9" x14ac:dyDescent="0.3">
      <c r="A2614" s="2"/>
      <c r="H2614" s="3"/>
      <c r="I2614" s="3"/>
    </row>
    <row r="2615" spans="1:9" x14ac:dyDescent="0.3">
      <c r="A2615" s="2"/>
      <c r="H2615" s="3"/>
      <c r="I2615" s="3"/>
    </row>
    <row r="2616" spans="1:9" x14ac:dyDescent="0.3">
      <c r="A2616" s="2"/>
      <c r="H2616" s="3"/>
      <c r="I2616" s="3"/>
    </row>
    <row r="2617" spans="1:9" x14ac:dyDescent="0.3">
      <c r="A2617" s="2"/>
      <c r="H2617" s="3"/>
      <c r="I2617" s="3"/>
    </row>
    <row r="2618" spans="1:9" x14ac:dyDescent="0.3">
      <c r="A2618" s="2"/>
      <c r="H2618" s="3"/>
      <c r="I2618" s="3"/>
    </row>
    <row r="2619" spans="1:9" x14ac:dyDescent="0.3">
      <c r="A2619" s="2"/>
      <c r="H2619" s="3"/>
      <c r="I2619" s="3"/>
    </row>
    <row r="2620" spans="1:9" x14ac:dyDescent="0.3">
      <c r="A2620" s="2"/>
      <c r="H2620" s="3"/>
      <c r="I2620" s="3"/>
    </row>
    <row r="2621" spans="1:9" x14ac:dyDescent="0.3">
      <c r="A2621" s="2"/>
      <c r="H2621" s="3"/>
      <c r="I2621" s="3"/>
    </row>
    <row r="2622" spans="1:9" x14ac:dyDescent="0.3">
      <c r="A2622" s="2"/>
      <c r="H2622" s="3"/>
      <c r="I2622" s="3"/>
    </row>
    <row r="2623" spans="1:9" x14ac:dyDescent="0.3">
      <c r="A2623" s="2"/>
      <c r="H2623" s="3"/>
      <c r="I2623" s="3"/>
    </row>
    <row r="2624" spans="1:9" x14ac:dyDescent="0.3">
      <c r="A2624" s="2"/>
      <c r="H2624" s="3"/>
      <c r="I2624" s="3"/>
    </row>
    <row r="2625" spans="1:9" x14ac:dyDescent="0.3">
      <c r="A2625" s="2"/>
      <c r="H2625" s="3"/>
      <c r="I2625" s="3"/>
    </row>
    <row r="2626" spans="1:9" x14ac:dyDescent="0.3">
      <c r="A2626" s="2"/>
      <c r="H2626" s="3"/>
      <c r="I2626" s="3"/>
    </row>
    <row r="2627" spans="1:9" x14ac:dyDescent="0.3">
      <c r="A2627" s="2"/>
      <c r="H2627" s="3"/>
      <c r="I2627" s="3"/>
    </row>
    <row r="2628" spans="1:9" x14ac:dyDescent="0.3">
      <c r="A2628" s="2"/>
      <c r="H2628" s="3"/>
      <c r="I2628" s="3"/>
    </row>
    <row r="2629" spans="1:9" x14ac:dyDescent="0.3">
      <c r="A2629" s="2"/>
      <c r="H2629" s="3"/>
      <c r="I2629" s="3"/>
    </row>
    <row r="2630" spans="1:9" x14ac:dyDescent="0.3">
      <c r="A2630" s="2"/>
      <c r="H2630" s="3"/>
      <c r="I2630" s="3"/>
    </row>
    <row r="2631" spans="1:9" x14ac:dyDescent="0.3">
      <c r="A2631" s="2"/>
      <c r="H2631" s="3"/>
      <c r="I2631" s="3"/>
    </row>
    <row r="2632" spans="1:9" x14ac:dyDescent="0.3">
      <c r="A2632" s="2"/>
      <c r="H2632" s="3"/>
      <c r="I2632" s="3"/>
    </row>
    <row r="2633" spans="1:9" x14ac:dyDescent="0.3">
      <c r="A2633" s="2"/>
      <c r="H2633" s="3"/>
      <c r="I2633" s="3"/>
    </row>
    <row r="2634" spans="1:9" x14ac:dyDescent="0.3">
      <c r="A2634" s="2"/>
      <c r="H2634" s="3"/>
      <c r="I2634" s="3"/>
    </row>
    <row r="2635" spans="1:9" x14ac:dyDescent="0.3">
      <c r="A2635" s="2"/>
      <c r="H2635" s="3"/>
      <c r="I2635" s="3"/>
    </row>
    <row r="2636" spans="1:9" x14ac:dyDescent="0.3">
      <c r="A2636" s="2"/>
      <c r="H2636" s="3"/>
      <c r="I2636" s="3"/>
    </row>
    <row r="2637" spans="1:9" x14ac:dyDescent="0.3">
      <c r="A2637" s="2"/>
      <c r="H2637" s="3"/>
      <c r="I2637" s="3"/>
    </row>
    <row r="2638" spans="1:9" x14ac:dyDescent="0.3">
      <c r="A2638" s="2"/>
      <c r="H2638" s="3"/>
      <c r="I2638" s="3"/>
    </row>
    <row r="2639" spans="1:9" x14ac:dyDescent="0.3">
      <c r="A2639" s="2"/>
      <c r="H2639" s="3"/>
      <c r="I2639" s="3"/>
    </row>
    <row r="2640" spans="1:9" x14ac:dyDescent="0.3">
      <c r="A2640" s="2"/>
      <c r="H2640" s="3"/>
      <c r="I2640" s="3"/>
    </row>
    <row r="2641" spans="1:9" x14ac:dyDescent="0.3">
      <c r="A2641" s="2"/>
      <c r="H2641" s="3"/>
      <c r="I2641" s="3"/>
    </row>
    <row r="2642" spans="1:9" x14ac:dyDescent="0.3">
      <c r="A2642" s="2"/>
      <c r="H2642" s="3"/>
      <c r="I2642" s="3"/>
    </row>
    <row r="2643" spans="1:9" x14ac:dyDescent="0.3">
      <c r="A2643" s="2"/>
      <c r="H2643" s="3"/>
      <c r="I2643" s="3"/>
    </row>
    <row r="2644" spans="1:9" x14ac:dyDescent="0.3">
      <c r="A2644" s="2"/>
      <c r="H2644" s="3"/>
      <c r="I2644" s="3"/>
    </row>
    <row r="2645" spans="1:9" x14ac:dyDescent="0.3">
      <c r="A2645" s="2"/>
      <c r="H2645" s="3"/>
      <c r="I2645" s="3"/>
    </row>
    <row r="2646" spans="1:9" x14ac:dyDescent="0.3">
      <c r="A2646" s="2"/>
      <c r="H2646" s="3"/>
      <c r="I2646" s="3"/>
    </row>
    <row r="2647" spans="1:9" x14ac:dyDescent="0.3">
      <c r="A2647" s="2"/>
      <c r="H2647" s="3"/>
      <c r="I2647" s="3"/>
    </row>
    <row r="2648" spans="1:9" x14ac:dyDescent="0.3">
      <c r="A2648" s="2"/>
      <c r="H2648" s="3"/>
      <c r="I2648" s="3"/>
    </row>
    <row r="2649" spans="1:9" x14ac:dyDescent="0.3">
      <c r="A2649" s="2"/>
      <c r="H2649" s="3"/>
      <c r="I2649" s="3"/>
    </row>
    <row r="2650" spans="1:9" x14ac:dyDescent="0.3">
      <c r="A2650" s="2"/>
      <c r="H2650" s="3"/>
      <c r="I2650" s="3"/>
    </row>
    <row r="2651" spans="1:9" x14ac:dyDescent="0.3">
      <c r="A2651" s="2"/>
      <c r="H2651" s="3"/>
      <c r="I2651" s="3"/>
    </row>
    <row r="2652" spans="1:9" x14ac:dyDescent="0.3">
      <c r="A2652" s="2"/>
      <c r="H2652" s="3"/>
      <c r="I2652" s="3"/>
    </row>
    <row r="2653" spans="1:9" x14ac:dyDescent="0.3">
      <c r="A2653" s="2"/>
      <c r="H2653" s="3"/>
      <c r="I2653" s="3"/>
    </row>
    <row r="2654" spans="1:9" x14ac:dyDescent="0.3">
      <c r="A2654" s="2"/>
      <c r="H2654" s="3"/>
      <c r="I2654" s="3"/>
    </row>
    <row r="2655" spans="1:9" x14ac:dyDescent="0.3">
      <c r="A2655" s="2"/>
      <c r="H2655" s="3"/>
      <c r="I2655" s="3"/>
    </row>
    <row r="2656" spans="1:9" x14ac:dyDescent="0.3">
      <c r="A2656" s="2"/>
      <c r="H2656" s="3"/>
      <c r="I2656" s="3"/>
    </row>
    <row r="2657" spans="1:9" x14ac:dyDescent="0.3">
      <c r="A2657" s="2"/>
      <c r="H2657" s="3"/>
      <c r="I2657" s="3"/>
    </row>
    <row r="2658" spans="1:9" x14ac:dyDescent="0.3">
      <c r="A2658" s="2"/>
      <c r="H2658" s="3"/>
      <c r="I2658" s="3"/>
    </row>
    <row r="2659" spans="1:9" x14ac:dyDescent="0.3">
      <c r="A2659" s="2"/>
      <c r="H2659" s="3"/>
      <c r="I2659" s="3"/>
    </row>
    <row r="2660" spans="1:9" x14ac:dyDescent="0.3">
      <c r="A2660" s="2"/>
      <c r="H2660" s="3"/>
      <c r="I2660" s="3"/>
    </row>
    <row r="2661" spans="1:9" x14ac:dyDescent="0.3">
      <c r="A2661" s="2"/>
      <c r="H2661" s="3"/>
      <c r="I2661" s="3"/>
    </row>
    <row r="2662" spans="1:9" x14ac:dyDescent="0.3">
      <c r="A2662" s="2"/>
      <c r="H2662" s="3"/>
      <c r="I2662" s="3"/>
    </row>
    <row r="2663" spans="1:9" x14ac:dyDescent="0.3">
      <c r="A2663" s="2"/>
      <c r="H2663" s="3"/>
      <c r="I2663" s="3"/>
    </row>
    <row r="2664" spans="1:9" x14ac:dyDescent="0.3">
      <c r="A2664" s="2"/>
      <c r="H2664" s="3"/>
      <c r="I2664" s="3"/>
    </row>
    <row r="2665" spans="1:9" x14ac:dyDescent="0.3">
      <c r="A2665" s="2"/>
      <c r="H2665" s="3"/>
      <c r="I2665" s="3"/>
    </row>
    <row r="2666" spans="1:9" x14ac:dyDescent="0.3">
      <c r="A2666" s="2"/>
      <c r="H2666" s="3"/>
      <c r="I2666" s="3"/>
    </row>
    <row r="2667" spans="1:9" x14ac:dyDescent="0.3">
      <c r="A2667" s="2"/>
      <c r="H2667" s="3"/>
      <c r="I2667" s="3"/>
    </row>
    <row r="2668" spans="1:9" x14ac:dyDescent="0.3">
      <c r="A2668" s="2"/>
      <c r="H2668" s="3"/>
      <c r="I2668" s="3"/>
    </row>
    <row r="2669" spans="1:9" x14ac:dyDescent="0.3">
      <c r="A2669" s="2"/>
      <c r="H2669" s="3"/>
      <c r="I2669" s="3"/>
    </row>
    <row r="2670" spans="1:9" x14ac:dyDescent="0.3">
      <c r="A2670" s="2"/>
      <c r="H2670" s="3"/>
      <c r="I2670" s="3"/>
    </row>
    <row r="2671" spans="1:9" x14ac:dyDescent="0.3">
      <c r="A2671" s="2"/>
      <c r="H2671" s="3"/>
      <c r="I2671" s="3"/>
    </row>
    <row r="2672" spans="1:9" x14ac:dyDescent="0.3">
      <c r="A2672" s="2"/>
      <c r="H2672" s="3"/>
      <c r="I2672" s="3"/>
    </row>
    <row r="2673" spans="1:9" x14ac:dyDescent="0.3">
      <c r="A2673" s="2"/>
      <c r="H2673" s="3"/>
      <c r="I2673" s="3"/>
    </row>
    <row r="2674" spans="1:9" x14ac:dyDescent="0.3">
      <c r="A2674" s="2"/>
      <c r="H2674" s="3"/>
      <c r="I2674" s="3"/>
    </row>
    <row r="2675" spans="1:9" x14ac:dyDescent="0.3">
      <c r="A2675" s="2"/>
      <c r="H2675" s="3"/>
      <c r="I2675" s="3"/>
    </row>
    <row r="2676" spans="1:9" x14ac:dyDescent="0.3">
      <c r="A2676" s="2"/>
      <c r="H2676" s="3"/>
      <c r="I2676" s="3"/>
    </row>
    <row r="2677" spans="1:9" x14ac:dyDescent="0.3">
      <c r="A2677" s="2"/>
      <c r="H2677" s="3"/>
      <c r="I2677" s="3"/>
    </row>
    <row r="2678" spans="1:9" x14ac:dyDescent="0.3">
      <c r="A2678" s="2"/>
      <c r="H2678" s="3"/>
      <c r="I2678" s="3"/>
    </row>
    <row r="2679" spans="1:9" x14ac:dyDescent="0.3">
      <c r="A2679" s="2"/>
      <c r="H2679" s="3"/>
      <c r="I2679" s="3"/>
    </row>
    <row r="2680" spans="1:9" x14ac:dyDescent="0.3">
      <c r="A2680" s="2"/>
      <c r="H2680" s="3"/>
      <c r="I2680" s="3"/>
    </row>
    <row r="2681" spans="1:9" x14ac:dyDescent="0.3">
      <c r="A2681" s="2"/>
      <c r="H2681" s="3"/>
      <c r="I2681" s="3"/>
    </row>
    <row r="2682" spans="1:9" x14ac:dyDescent="0.3">
      <c r="A2682" s="2"/>
      <c r="H2682" s="3"/>
      <c r="I2682" s="3"/>
    </row>
    <row r="2683" spans="1:9" x14ac:dyDescent="0.3">
      <c r="A2683" s="2"/>
      <c r="H2683" s="3"/>
      <c r="I2683" s="3"/>
    </row>
    <row r="2684" spans="1:9" x14ac:dyDescent="0.3">
      <c r="A2684" s="2"/>
      <c r="H2684" s="3"/>
      <c r="I2684" s="3"/>
    </row>
    <row r="2685" spans="1:9" x14ac:dyDescent="0.3">
      <c r="A2685" s="2"/>
      <c r="H2685" s="3"/>
      <c r="I2685" s="3"/>
    </row>
    <row r="2686" spans="1:9" x14ac:dyDescent="0.3">
      <c r="A2686" s="2"/>
      <c r="H2686" s="3"/>
      <c r="I2686" s="3"/>
    </row>
    <row r="2687" spans="1:9" x14ac:dyDescent="0.3">
      <c r="A2687" s="2"/>
      <c r="H2687" s="3"/>
      <c r="I2687" s="3"/>
    </row>
    <row r="2688" spans="1:9" x14ac:dyDescent="0.3">
      <c r="A2688" s="2"/>
      <c r="H2688" s="3"/>
      <c r="I2688" s="3"/>
    </row>
    <row r="2689" spans="1:9" x14ac:dyDescent="0.3">
      <c r="A2689" s="2"/>
      <c r="H2689" s="3"/>
      <c r="I2689" s="3"/>
    </row>
    <row r="2690" spans="1:9" x14ac:dyDescent="0.3">
      <c r="A2690" s="2"/>
      <c r="H2690" s="3"/>
      <c r="I2690" s="3"/>
    </row>
    <row r="2691" spans="1:9" x14ac:dyDescent="0.3">
      <c r="A2691" s="2"/>
      <c r="H2691" s="3"/>
      <c r="I2691" s="3"/>
    </row>
    <row r="2692" spans="1:9" x14ac:dyDescent="0.3">
      <c r="A2692" s="2"/>
      <c r="H2692" s="3"/>
      <c r="I2692" s="3"/>
    </row>
    <row r="2693" spans="1:9" x14ac:dyDescent="0.3">
      <c r="A2693" s="2"/>
      <c r="H2693" s="3"/>
      <c r="I2693" s="3"/>
    </row>
    <row r="2694" spans="1:9" x14ac:dyDescent="0.3">
      <c r="A2694" s="2"/>
      <c r="H2694" s="3"/>
      <c r="I2694" s="3"/>
    </row>
    <row r="2695" spans="1:9" x14ac:dyDescent="0.3">
      <c r="A2695" s="2"/>
      <c r="H2695" s="3"/>
      <c r="I2695" s="3"/>
    </row>
    <row r="2696" spans="1:9" x14ac:dyDescent="0.3">
      <c r="A2696" s="2"/>
      <c r="H2696" s="3"/>
      <c r="I2696" s="3"/>
    </row>
    <row r="2697" spans="1:9" x14ac:dyDescent="0.3">
      <c r="A2697" s="2"/>
      <c r="H2697" s="3"/>
      <c r="I2697" s="3"/>
    </row>
    <row r="2698" spans="1:9" x14ac:dyDescent="0.3">
      <c r="A2698" s="2"/>
      <c r="H2698" s="3"/>
      <c r="I2698" s="3"/>
    </row>
    <row r="2699" spans="1:9" x14ac:dyDescent="0.3">
      <c r="A2699" s="2"/>
      <c r="H2699" s="3"/>
      <c r="I2699" s="3"/>
    </row>
    <row r="2700" spans="1:9" x14ac:dyDescent="0.3">
      <c r="A2700" s="2"/>
      <c r="H2700" s="3"/>
      <c r="I2700" s="3"/>
    </row>
    <row r="2701" spans="1:9" x14ac:dyDescent="0.3">
      <c r="A2701" s="2"/>
      <c r="H2701" s="3"/>
      <c r="I2701" s="3"/>
    </row>
    <row r="2702" spans="1:9" x14ac:dyDescent="0.3">
      <c r="A2702" s="2"/>
      <c r="H2702" s="3"/>
      <c r="I2702" s="3"/>
    </row>
    <row r="2703" spans="1:9" x14ac:dyDescent="0.3">
      <c r="A2703" s="2"/>
      <c r="H2703" s="3"/>
      <c r="I2703" s="3"/>
    </row>
    <row r="2704" spans="1:9" x14ac:dyDescent="0.3">
      <c r="A2704" s="2"/>
      <c r="H2704" s="3"/>
      <c r="I2704" s="3"/>
    </row>
    <row r="2705" spans="1:9" x14ac:dyDescent="0.3">
      <c r="A2705" s="2"/>
      <c r="H2705" s="3"/>
      <c r="I2705" s="3"/>
    </row>
    <row r="2706" spans="1:9" x14ac:dyDescent="0.3">
      <c r="A2706" s="2"/>
      <c r="H2706" s="3"/>
      <c r="I2706" s="3"/>
    </row>
    <row r="2707" spans="1:9" x14ac:dyDescent="0.3">
      <c r="A2707" s="2"/>
      <c r="H2707" s="3"/>
      <c r="I2707" s="3"/>
    </row>
    <row r="2708" spans="1:9" x14ac:dyDescent="0.3">
      <c r="A2708" s="2"/>
      <c r="H2708" s="3"/>
      <c r="I2708" s="3"/>
    </row>
    <row r="2709" spans="1:9" x14ac:dyDescent="0.3">
      <c r="A2709" s="2"/>
      <c r="H2709" s="3"/>
      <c r="I2709" s="3"/>
    </row>
    <row r="2710" spans="1:9" x14ac:dyDescent="0.3">
      <c r="A2710" s="2"/>
      <c r="H2710" s="3"/>
      <c r="I2710" s="3"/>
    </row>
    <row r="2711" spans="1:9" x14ac:dyDescent="0.3">
      <c r="A2711" s="2"/>
      <c r="H2711" s="3"/>
      <c r="I2711" s="3"/>
    </row>
    <row r="2712" spans="1:9" x14ac:dyDescent="0.3">
      <c r="A2712" s="2"/>
      <c r="H2712" s="3"/>
      <c r="I2712" s="3"/>
    </row>
    <row r="2713" spans="1:9" x14ac:dyDescent="0.3">
      <c r="A2713" s="2"/>
      <c r="H2713" s="3"/>
      <c r="I2713" s="3"/>
    </row>
    <row r="2714" spans="1:9" x14ac:dyDescent="0.3">
      <c r="A2714" s="2"/>
      <c r="H2714" s="3"/>
      <c r="I2714" s="3"/>
    </row>
    <row r="2715" spans="1:9" x14ac:dyDescent="0.3">
      <c r="A2715" s="2"/>
      <c r="H2715" s="3"/>
      <c r="I2715" s="3"/>
    </row>
    <row r="2716" spans="1:9" x14ac:dyDescent="0.3">
      <c r="A2716" s="2"/>
      <c r="H2716" s="3"/>
      <c r="I2716" s="3"/>
    </row>
    <row r="2717" spans="1:9" x14ac:dyDescent="0.3">
      <c r="A2717" s="2"/>
      <c r="H2717" s="3"/>
      <c r="I2717" s="3"/>
    </row>
    <row r="2718" spans="1:9" x14ac:dyDescent="0.3">
      <c r="A2718" s="2"/>
      <c r="H2718" s="3"/>
      <c r="I2718" s="3"/>
    </row>
    <row r="2719" spans="1:9" x14ac:dyDescent="0.3">
      <c r="A2719" s="2"/>
      <c r="H2719" s="3"/>
      <c r="I2719" s="3"/>
    </row>
    <row r="2720" spans="1:9" x14ac:dyDescent="0.3">
      <c r="A2720" s="2"/>
      <c r="H2720" s="3"/>
      <c r="I2720" s="3"/>
    </row>
    <row r="2721" spans="1:9" x14ac:dyDescent="0.3">
      <c r="A2721" s="2"/>
      <c r="H2721" s="3"/>
      <c r="I2721" s="3"/>
    </row>
    <row r="2722" spans="1:9" x14ac:dyDescent="0.3">
      <c r="A2722" s="2"/>
      <c r="H2722" s="3"/>
      <c r="I2722" s="3"/>
    </row>
    <row r="2723" spans="1:9" x14ac:dyDescent="0.3">
      <c r="A2723" s="2"/>
      <c r="H2723" s="3"/>
      <c r="I2723" s="3"/>
    </row>
    <row r="2724" spans="1:9" x14ac:dyDescent="0.3">
      <c r="A2724" s="2"/>
      <c r="H2724" s="3"/>
      <c r="I2724" s="3"/>
    </row>
    <row r="2725" spans="1:9" x14ac:dyDescent="0.3">
      <c r="A2725" s="2"/>
      <c r="H2725" s="3"/>
      <c r="I2725" s="3"/>
    </row>
    <row r="2726" spans="1:9" x14ac:dyDescent="0.3">
      <c r="A2726" s="2"/>
      <c r="H2726" s="3"/>
      <c r="I2726" s="3"/>
    </row>
    <row r="2727" spans="1:9" x14ac:dyDescent="0.3">
      <c r="A2727" s="2"/>
      <c r="H2727" s="3"/>
      <c r="I2727" s="3"/>
    </row>
    <row r="2728" spans="1:9" x14ac:dyDescent="0.3">
      <c r="A2728" s="2"/>
      <c r="H2728" s="3"/>
      <c r="I2728" s="3"/>
    </row>
    <row r="2729" spans="1:9" x14ac:dyDescent="0.3">
      <c r="A2729" s="2"/>
      <c r="H2729" s="3"/>
      <c r="I2729" s="3"/>
    </row>
    <row r="2730" spans="1:9" x14ac:dyDescent="0.3">
      <c r="A2730" s="2"/>
      <c r="H2730" s="3"/>
      <c r="I2730" s="3"/>
    </row>
    <row r="2731" spans="1:9" x14ac:dyDescent="0.3">
      <c r="A2731" s="2"/>
      <c r="H2731" s="3"/>
      <c r="I2731" s="3"/>
    </row>
    <row r="2732" spans="1:9" x14ac:dyDescent="0.3">
      <c r="A2732" s="2"/>
      <c r="H2732" s="3"/>
      <c r="I2732" s="3"/>
    </row>
    <row r="2733" spans="1:9" x14ac:dyDescent="0.3">
      <c r="A2733" s="2"/>
      <c r="H2733" s="3"/>
      <c r="I2733" s="3"/>
    </row>
    <row r="2734" spans="1:9" x14ac:dyDescent="0.3">
      <c r="A2734" s="2"/>
      <c r="H2734" s="3"/>
      <c r="I2734" s="3"/>
    </row>
    <row r="2735" spans="1:9" x14ac:dyDescent="0.3">
      <c r="A2735" s="2"/>
      <c r="H2735" s="3"/>
      <c r="I2735" s="3"/>
    </row>
    <row r="2736" spans="1:9" x14ac:dyDescent="0.3">
      <c r="A2736" s="2"/>
      <c r="H2736" s="3"/>
      <c r="I2736" s="3"/>
    </row>
    <row r="2737" spans="1:9" x14ac:dyDescent="0.3">
      <c r="A2737" s="2"/>
      <c r="H2737" s="3"/>
      <c r="I2737" s="3"/>
    </row>
    <row r="2738" spans="1:9" x14ac:dyDescent="0.3">
      <c r="A2738" s="2"/>
      <c r="H2738" s="3"/>
      <c r="I2738" s="3"/>
    </row>
    <row r="2739" spans="1:9" x14ac:dyDescent="0.3">
      <c r="A2739" s="2"/>
      <c r="H2739" s="3"/>
      <c r="I2739" s="3"/>
    </row>
    <row r="2740" spans="1:9" x14ac:dyDescent="0.3">
      <c r="A2740" s="2"/>
      <c r="H2740" s="3"/>
      <c r="I2740" s="3"/>
    </row>
    <row r="2741" spans="1:9" x14ac:dyDescent="0.3">
      <c r="A2741" s="2"/>
      <c r="H2741" s="3"/>
      <c r="I2741" s="3"/>
    </row>
    <row r="2742" spans="1:9" x14ac:dyDescent="0.3">
      <c r="A2742" s="2"/>
      <c r="H2742" s="3"/>
      <c r="I2742" s="3"/>
    </row>
    <row r="2743" spans="1:9" x14ac:dyDescent="0.3">
      <c r="A2743" s="2"/>
      <c r="H2743" s="3"/>
      <c r="I2743" s="3"/>
    </row>
    <row r="2744" spans="1:9" x14ac:dyDescent="0.3">
      <c r="A2744" s="2"/>
      <c r="H2744" s="3"/>
      <c r="I2744" s="3"/>
    </row>
    <row r="2745" spans="1:9" x14ac:dyDescent="0.3">
      <c r="A2745" s="2"/>
      <c r="H2745" s="3"/>
      <c r="I2745" s="3"/>
    </row>
    <row r="2746" spans="1:9" x14ac:dyDescent="0.3">
      <c r="A2746" s="2"/>
      <c r="H2746" s="3"/>
      <c r="I2746" s="3"/>
    </row>
    <row r="2747" spans="1:9" x14ac:dyDescent="0.3">
      <c r="A2747" s="2"/>
      <c r="H2747" s="3"/>
      <c r="I2747" s="3"/>
    </row>
    <row r="2748" spans="1:9" x14ac:dyDescent="0.3">
      <c r="A2748" s="2"/>
      <c r="H2748" s="3"/>
      <c r="I2748" s="3"/>
    </row>
    <row r="2749" spans="1:9" x14ac:dyDescent="0.3">
      <c r="A2749" s="2"/>
      <c r="H2749" s="3"/>
      <c r="I2749" s="3"/>
    </row>
    <row r="2750" spans="1:9" x14ac:dyDescent="0.3">
      <c r="A2750" s="2"/>
      <c r="H2750" s="3"/>
      <c r="I2750" s="3"/>
    </row>
    <row r="2751" spans="1:9" x14ac:dyDescent="0.3">
      <c r="A2751" s="2"/>
      <c r="H2751" s="3"/>
      <c r="I2751" s="3"/>
    </row>
    <row r="2752" spans="1:9" x14ac:dyDescent="0.3">
      <c r="A2752" s="2"/>
      <c r="H2752" s="3"/>
      <c r="I2752" s="3"/>
    </row>
    <row r="2753" spans="1:9" x14ac:dyDescent="0.3">
      <c r="A2753" s="2"/>
      <c r="H2753" s="3"/>
      <c r="I2753" s="3"/>
    </row>
    <row r="2754" spans="1:9" x14ac:dyDescent="0.3">
      <c r="A2754" s="2"/>
      <c r="H2754" s="3"/>
      <c r="I2754" s="3"/>
    </row>
    <row r="2755" spans="1:9" x14ac:dyDescent="0.3">
      <c r="A2755" s="2"/>
      <c r="H2755" s="3"/>
      <c r="I2755" s="3"/>
    </row>
    <row r="2756" spans="1:9" x14ac:dyDescent="0.3">
      <c r="A2756" s="2"/>
      <c r="H2756" s="3"/>
      <c r="I2756" s="3"/>
    </row>
    <row r="2757" spans="1:9" x14ac:dyDescent="0.3">
      <c r="A2757" s="2"/>
      <c r="H2757" s="3"/>
      <c r="I2757" s="3"/>
    </row>
    <row r="2758" spans="1:9" x14ac:dyDescent="0.3">
      <c r="A2758" s="2"/>
      <c r="H2758" s="3"/>
      <c r="I2758" s="3"/>
    </row>
    <row r="2759" spans="1:9" x14ac:dyDescent="0.3">
      <c r="A2759" s="2"/>
      <c r="H2759" s="3"/>
      <c r="I2759" s="3"/>
    </row>
    <row r="2760" spans="1:9" x14ac:dyDescent="0.3">
      <c r="A2760" s="2"/>
      <c r="H2760" s="3"/>
      <c r="I2760" s="3"/>
    </row>
    <row r="2761" spans="1:9" x14ac:dyDescent="0.3">
      <c r="A2761" s="2"/>
      <c r="H2761" s="3"/>
      <c r="I2761" s="3"/>
    </row>
    <row r="2762" spans="1:9" x14ac:dyDescent="0.3">
      <c r="A2762" s="2"/>
      <c r="H2762" s="3"/>
      <c r="I2762" s="3"/>
    </row>
    <row r="2763" spans="1:9" x14ac:dyDescent="0.3">
      <c r="A2763" s="2"/>
      <c r="H2763" s="3"/>
      <c r="I2763" s="3"/>
    </row>
    <row r="2764" spans="1:9" x14ac:dyDescent="0.3">
      <c r="A2764" s="2"/>
      <c r="H2764" s="3"/>
      <c r="I2764" s="3"/>
    </row>
    <row r="2765" spans="1:9" x14ac:dyDescent="0.3">
      <c r="A2765" s="2"/>
      <c r="H2765" s="3"/>
      <c r="I2765" s="3"/>
    </row>
    <row r="2766" spans="1:9" x14ac:dyDescent="0.3">
      <c r="A2766" s="2"/>
      <c r="H2766" s="3"/>
      <c r="I2766" s="3"/>
    </row>
    <row r="2767" spans="1:9" x14ac:dyDescent="0.3">
      <c r="A2767" s="2"/>
      <c r="H2767" s="3"/>
      <c r="I2767" s="3"/>
    </row>
    <row r="2768" spans="1:9" x14ac:dyDescent="0.3">
      <c r="A2768" s="2"/>
      <c r="H2768" s="3"/>
      <c r="I2768" s="3"/>
    </row>
    <row r="2769" spans="1:9" x14ac:dyDescent="0.3">
      <c r="A2769" s="2"/>
      <c r="H2769" s="3"/>
      <c r="I2769" s="3"/>
    </row>
    <row r="2770" spans="1:9" x14ac:dyDescent="0.3">
      <c r="A2770" s="2"/>
      <c r="H2770" s="3"/>
      <c r="I2770" s="3"/>
    </row>
    <row r="2771" spans="1:9" x14ac:dyDescent="0.3">
      <c r="A2771" s="2"/>
      <c r="H2771" s="3"/>
      <c r="I2771" s="3"/>
    </row>
    <row r="2772" spans="1:9" x14ac:dyDescent="0.3">
      <c r="A2772" s="2"/>
      <c r="H2772" s="3"/>
      <c r="I2772" s="3"/>
    </row>
    <row r="2773" spans="1:9" x14ac:dyDescent="0.3">
      <c r="A2773" s="2"/>
      <c r="H2773" s="3"/>
      <c r="I2773" s="3"/>
    </row>
    <row r="2774" spans="1:9" x14ac:dyDescent="0.3">
      <c r="A2774" s="2"/>
      <c r="H2774" s="3"/>
      <c r="I2774" s="3"/>
    </row>
    <row r="2775" spans="1:9" x14ac:dyDescent="0.3">
      <c r="A2775" s="2"/>
      <c r="H2775" s="3"/>
      <c r="I2775" s="3"/>
    </row>
    <row r="2776" spans="1:9" x14ac:dyDescent="0.3">
      <c r="A2776" s="2"/>
      <c r="H2776" s="3"/>
      <c r="I2776" s="3"/>
    </row>
    <row r="2777" spans="1:9" x14ac:dyDescent="0.3">
      <c r="A2777" s="2"/>
      <c r="H2777" s="3"/>
      <c r="I2777" s="3"/>
    </row>
    <row r="2778" spans="1:9" x14ac:dyDescent="0.3">
      <c r="A2778" s="2"/>
      <c r="H2778" s="3"/>
      <c r="I2778" s="3"/>
    </row>
    <row r="2779" spans="1:9" x14ac:dyDescent="0.3">
      <c r="A2779" s="2"/>
      <c r="H2779" s="3"/>
      <c r="I2779" s="3"/>
    </row>
    <row r="2780" spans="1:9" x14ac:dyDescent="0.3">
      <c r="A2780" s="2"/>
      <c r="H2780" s="3"/>
      <c r="I2780" s="3"/>
    </row>
    <row r="2781" spans="1:9" x14ac:dyDescent="0.3">
      <c r="A2781" s="2"/>
      <c r="H2781" s="3"/>
      <c r="I2781" s="3"/>
    </row>
    <row r="2782" spans="1:9" x14ac:dyDescent="0.3">
      <c r="A2782" s="2"/>
      <c r="H2782" s="3"/>
      <c r="I2782" s="3"/>
    </row>
    <row r="2783" spans="1:9" x14ac:dyDescent="0.3">
      <c r="A2783" s="2"/>
      <c r="H2783" s="3"/>
      <c r="I2783" s="3"/>
    </row>
    <row r="2784" spans="1:9" x14ac:dyDescent="0.3">
      <c r="A2784" s="2"/>
      <c r="H2784" s="3"/>
      <c r="I2784" s="3"/>
    </row>
    <row r="2785" spans="1:9" x14ac:dyDescent="0.3">
      <c r="A2785" s="2"/>
      <c r="H2785" s="3"/>
      <c r="I2785" s="3"/>
    </row>
    <row r="2786" spans="1:9" x14ac:dyDescent="0.3">
      <c r="A2786" s="2"/>
      <c r="H2786" s="3"/>
      <c r="I2786" s="3"/>
    </row>
    <row r="2787" spans="1:9" x14ac:dyDescent="0.3">
      <c r="A2787" s="2"/>
      <c r="H2787" s="3"/>
      <c r="I2787" s="3"/>
    </row>
    <row r="2788" spans="1:9" x14ac:dyDescent="0.3">
      <c r="A2788" s="2"/>
      <c r="H2788" s="3"/>
      <c r="I2788" s="3"/>
    </row>
    <row r="2789" spans="1:9" x14ac:dyDescent="0.3">
      <c r="A2789" s="2"/>
      <c r="H2789" s="3"/>
      <c r="I2789" s="3"/>
    </row>
    <row r="2790" spans="1:9" x14ac:dyDescent="0.3">
      <c r="A2790" s="2"/>
      <c r="H2790" s="3"/>
      <c r="I2790" s="3"/>
    </row>
    <row r="2791" spans="1:9" x14ac:dyDescent="0.3">
      <c r="A2791" s="2"/>
      <c r="H2791" s="3"/>
      <c r="I2791" s="3"/>
    </row>
    <row r="2792" spans="1:9" x14ac:dyDescent="0.3">
      <c r="A2792" s="2"/>
      <c r="H2792" s="3"/>
      <c r="I2792" s="3"/>
    </row>
    <row r="2793" spans="1:9" x14ac:dyDescent="0.3">
      <c r="A2793" s="2"/>
      <c r="H2793" s="3"/>
      <c r="I2793" s="3"/>
    </row>
    <row r="2794" spans="1:9" x14ac:dyDescent="0.3">
      <c r="A2794" s="2"/>
      <c r="H2794" s="3"/>
      <c r="I2794" s="3"/>
    </row>
    <row r="2795" spans="1:9" x14ac:dyDescent="0.3">
      <c r="A2795" s="2"/>
      <c r="H2795" s="3"/>
      <c r="I2795" s="3"/>
    </row>
    <row r="2796" spans="1:9" x14ac:dyDescent="0.3">
      <c r="A2796" s="2"/>
      <c r="H2796" s="3"/>
      <c r="I2796" s="3"/>
    </row>
    <row r="2797" spans="1:9" x14ac:dyDescent="0.3">
      <c r="A2797" s="2"/>
      <c r="H2797" s="3"/>
      <c r="I2797" s="3"/>
    </row>
    <row r="2798" spans="1:9" x14ac:dyDescent="0.3">
      <c r="A2798" s="2"/>
      <c r="H2798" s="3"/>
      <c r="I2798" s="3"/>
    </row>
    <row r="2799" spans="1:9" x14ac:dyDescent="0.3">
      <c r="A2799" s="2"/>
      <c r="H2799" s="3"/>
      <c r="I2799" s="3"/>
    </row>
    <row r="2800" spans="1:9" x14ac:dyDescent="0.3">
      <c r="A2800" s="2"/>
      <c r="H2800" s="3"/>
      <c r="I2800" s="3"/>
    </row>
    <row r="2801" spans="1:9" x14ac:dyDescent="0.3">
      <c r="A2801" s="2"/>
      <c r="H2801" s="3"/>
      <c r="I2801" s="3"/>
    </row>
    <row r="2802" spans="1:9" x14ac:dyDescent="0.3">
      <c r="A2802" s="2"/>
      <c r="H2802" s="3"/>
      <c r="I2802" s="3"/>
    </row>
    <row r="2803" spans="1:9" x14ac:dyDescent="0.3">
      <c r="A2803" s="2"/>
      <c r="H2803" s="3"/>
      <c r="I2803" s="3"/>
    </row>
    <row r="2804" spans="1:9" x14ac:dyDescent="0.3">
      <c r="A2804" s="2"/>
      <c r="H2804" s="3"/>
      <c r="I2804" s="3"/>
    </row>
    <row r="2805" spans="1:9" x14ac:dyDescent="0.3">
      <c r="A2805" s="2"/>
      <c r="H2805" s="3"/>
      <c r="I2805" s="3"/>
    </row>
    <row r="2806" spans="1:9" x14ac:dyDescent="0.3">
      <c r="A2806" s="2"/>
      <c r="H2806" s="3"/>
      <c r="I2806" s="3"/>
    </row>
    <row r="2807" spans="1:9" x14ac:dyDescent="0.3">
      <c r="A2807" s="2"/>
      <c r="H2807" s="3"/>
      <c r="I2807" s="3"/>
    </row>
    <row r="2808" spans="1:9" x14ac:dyDescent="0.3">
      <c r="A2808" s="2"/>
      <c r="H2808" s="3"/>
      <c r="I2808" s="3"/>
    </row>
    <row r="2809" spans="1:9" x14ac:dyDescent="0.3">
      <c r="A2809" s="2"/>
      <c r="H2809" s="3"/>
      <c r="I2809" s="3"/>
    </row>
    <row r="2810" spans="1:9" x14ac:dyDescent="0.3">
      <c r="A2810" s="2"/>
      <c r="H2810" s="3"/>
      <c r="I2810" s="3"/>
    </row>
    <row r="2811" spans="1:9" x14ac:dyDescent="0.3">
      <c r="A2811" s="2"/>
      <c r="H2811" s="3"/>
      <c r="I2811" s="3"/>
    </row>
    <row r="2812" spans="1:9" x14ac:dyDescent="0.3">
      <c r="A2812" s="2"/>
      <c r="H2812" s="3"/>
      <c r="I2812" s="3"/>
    </row>
    <row r="2813" spans="1:9" x14ac:dyDescent="0.3">
      <c r="A2813" s="2"/>
      <c r="H2813" s="3"/>
      <c r="I2813" s="3"/>
    </row>
    <row r="2814" spans="1:9" x14ac:dyDescent="0.3">
      <c r="A2814" s="2"/>
      <c r="H2814" s="3"/>
      <c r="I2814" s="3"/>
    </row>
    <row r="2815" spans="1:9" x14ac:dyDescent="0.3">
      <c r="A2815" s="2"/>
      <c r="H2815" s="3"/>
      <c r="I2815" s="3"/>
    </row>
    <row r="2816" spans="1:9" x14ac:dyDescent="0.3">
      <c r="A2816" s="2"/>
      <c r="H2816" s="3"/>
      <c r="I2816" s="3"/>
    </row>
    <row r="2817" spans="1:9" x14ac:dyDescent="0.3">
      <c r="A2817" s="2"/>
      <c r="H2817" s="3"/>
      <c r="I2817" s="3"/>
    </row>
    <row r="2818" spans="1:9" x14ac:dyDescent="0.3">
      <c r="A2818" s="2"/>
      <c r="H2818" s="3"/>
      <c r="I2818" s="3"/>
    </row>
    <row r="2819" spans="1:9" x14ac:dyDescent="0.3">
      <c r="A2819" s="2"/>
      <c r="H2819" s="3"/>
      <c r="I2819" s="3"/>
    </row>
    <row r="2820" spans="1:9" x14ac:dyDescent="0.3">
      <c r="A2820" s="2"/>
      <c r="H2820" s="3"/>
      <c r="I2820" s="3"/>
    </row>
    <row r="2821" spans="1:9" x14ac:dyDescent="0.3">
      <c r="A2821" s="2"/>
      <c r="H2821" s="3"/>
      <c r="I2821" s="3"/>
    </row>
    <row r="2822" spans="1:9" x14ac:dyDescent="0.3">
      <c r="A2822" s="2"/>
      <c r="H2822" s="3"/>
      <c r="I2822" s="3"/>
    </row>
    <row r="2823" spans="1:9" x14ac:dyDescent="0.3">
      <c r="A2823" s="2"/>
      <c r="H2823" s="3"/>
      <c r="I2823" s="3"/>
    </row>
    <row r="2824" spans="1:9" x14ac:dyDescent="0.3">
      <c r="A2824" s="2"/>
      <c r="H2824" s="3"/>
      <c r="I2824" s="3"/>
    </row>
    <row r="2825" spans="1:9" x14ac:dyDescent="0.3">
      <c r="A2825" s="2"/>
      <c r="H2825" s="3"/>
      <c r="I2825" s="3"/>
    </row>
    <row r="2826" spans="1:9" x14ac:dyDescent="0.3">
      <c r="A2826" s="2"/>
      <c r="H2826" s="3"/>
      <c r="I2826" s="3"/>
    </row>
    <row r="2827" spans="1:9" x14ac:dyDescent="0.3">
      <c r="A2827" s="2"/>
      <c r="H2827" s="3"/>
      <c r="I2827" s="3"/>
    </row>
    <row r="2828" spans="1:9" x14ac:dyDescent="0.3">
      <c r="A2828" s="2"/>
      <c r="H2828" s="3"/>
      <c r="I2828" s="3"/>
    </row>
    <row r="2829" spans="1:9" x14ac:dyDescent="0.3">
      <c r="A2829" s="2"/>
      <c r="H2829" s="3"/>
      <c r="I2829" s="3"/>
    </row>
    <row r="2830" spans="1:9" x14ac:dyDescent="0.3">
      <c r="A2830" s="2"/>
      <c r="H2830" s="3"/>
      <c r="I2830" s="3"/>
    </row>
    <row r="2831" spans="1:9" x14ac:dyDescent="0.3">
      <c r="A2831" s="2"/>
      <c r="H2831" s="3"/>
      <c r="I2831" s="3"/>
    </row>
    <row r="2832" spans="1:9" x14ac:dyDescent="0.3">
      <c r="A2832" s="2"/>
      <c r="H2832" s="3"/>
      <c r="I2832" s="3"/>
    </row>
    <row r="2833" spans="1:9" x14ac:dyDescent="0.3">
      <c r="A2833" s="2"/>
      <c r="H2833" s="3"/>
      <c r="I2833" s="3"/>
    </row>
    <row r="2834" spans="1:9" x14ac:dyDescent="0.3">
      <c r="A2834" s="2"/>
      <c r="H2834" s="3"/>
      <c r="I2834" s="3"/>
    </row>
    <row r="2835" spans="1:9" x14ac:dyDescent="0.3">
      <c r="A2835" s="2"/>
      <c r="H2835" s="3"/>
      <c r="I2835" s="3"/>
    </row>
    <row r="2836" spans="1:9" x14ac:dyDescent="0.3">
      <c r="A2836" s="2"/>
      <c r="H2836" s="3"/>
      <c r="I2836" s="3"/>
    </row>
    <row r="2837" spans="1:9" x14ac:dyDescent="0.3">
      <c r="A2837" s="2"/>
      <c r="H2837" s="3"/>
      <c r="I2837" s="3"/>
    </row>
    <row r="2838" spans="1:9" x14ac:dyDescent="0.3">
      <c r="A2838" s="2"/>
      <c r="H2838" s="3"/>
      <c r="I2838" s="3"/>
    </row>
    <row r="2839" spans="1:9" x14ac:dyDescent="0.3">
      <c r="A2839" s="2"/>
      <c r="H2839" s="3"/>
      <c r="I2839" s="3"/>
    </row>
    <row r="2840" spans="1:9" x14ac:dyDescent="0.3">
      <c r="A2840" s="2"/>
      <c r="H2840" s="3"/>
      <c r="I2840" s="3"/>
    </row>
    <row r="2841" spans="1:9" x14ac:dyDescent="0.3">
      <c r="A2841" s="2"/>
      <c r="H2841" s="3"/>
      <c r="I2841" s="3"/>
    </row>
    <row r="2842" spans="1:9" x14ac:dyDescent="0.3">
      <c r="A2842" s="2"/>
      <c r="H2842" s="3"/>
      <c r="I2842" s="3"/>
    </row>
    <row r="2843" spans="1:9" x14ac:dyDescent="0.3">
      <c r="A2843" s="2"/>
      <c r="H2843" s="3"/>
      <c r="I2843" s="3"/>
    </row>
    <row r="2844" spans="1:9" x14ac:dyDescent="0.3">
      <c r="A2844" s="2"/>
      <c r="H2844" s="3"/>
      <c r="I2844" s="3"/>
    </row>
    <row r="2845" spans="1:9" x14ac:dyDescent="0.3">
      <c r="A2845" s="2"/>
      <c r="H2845" s="3"/>
      <c r="I2845" s="3"/>
    </row>
    <row r="2846" spans="1:9" x14ac:dyDescent="0.3">
      <c r="A2846" s="2"/>
      <c r="H2846" s="3"/>
      <c r="I2846" s="3"/>
    </row>
    <row r="2847" spans="1:9" x14ac:dyDescent="0.3">
      <c r="A2847" s="2"/>
      <c r="H2847" s="3"/>
      <c r="I2847" s="3"/>
    </row>
    <row r="2848" spans="1:9" x14ac:dyDescent="0.3">
      <c r="A2848" s="2"/>
      <c r="H2848" s="3"/>
      <c r="I2848" s="3"/>
    </row>
    <row r="2849" spans="1:9" x14ac:dyDescent="0.3">
      <c r="A2849" s="2"/>
      <c r="H2849" s="3"/>
      <c r="I2849" s="3"/>
    </row>
    <row r="2850" spans="1:9" x14ac:dyDescent="0.3">
      <c r="A2850" s="2"/>
      <c r="H2850" s="3"/>
      <c r="I2850" s="3"/>
    </row>
    <row r="2851" spans="1:9" x14ac:dyDescent="0.3">
      <c r="A2851" s="2"/>
      <c r="H2851" s="3"/>
      <c r="I2851" s="3"/>
    </row>
    <row r="2852" spans="1:9" x14ac:dyDescent="0.3">
      <c r="A2852" s="2"/>
      <c r="H2852" s="3"/>
      <c r="I2852" s="3"/>
    </row>
    <row r="2853" spans="1:9" x14ac:dyDescent="0.3">
      <c r="A2853" s="2"/>
      <c r="H2853" s="3"/>
      <c r="I2853" s="3"/>
    </row>
    <row r="2854" spans="1:9" x14ac:dyDescent="0.3">
      <c r="A2854" s="2"/>
      <c r="H2854" s="3"/>
      <c r="I2854" s="3"/>
    </row>
    <row r="2855" spans="1:9" x14ac:dyDescent="0.3">
      <c r="A2855" s="2"/>
      <c r="H2855" s="3"/>
      <c r="I2855" s="3"/>
    </row>
    <row r="2856" spans="1:9" x14ac:dyDescent="0.3">
      <c r="A2856" s="2"/>
      <c r="H2856" s="3"/>
      <c r="I2856" s="3"/>
    </row>
    <row r="2857" spans="1:9" x14ac:dyDescent="0.3">
      <c r="A2857" s="2"/>
      <c r="H2857" s="3"/>
      <c r="I2857" s="3"/>
    </row>
    <row r="2858" spans="1:9" x14ac:dyDescent="0.3">
      <c r="A2858" s="2"/>
      <c r="H2858" s="3"/>
      <c r="I2858" s="3"/>
    </row>
    <row r="2859" spans="1:9" x14ac:dyDescent="0.3">
      <c r="A2859" s="2"/>
      <c r="H2859" s="3"/>
      <c r="I2859" s="3"/>
    </row>
    <row r="2860" spans="1:9" x14ac:dyDescent="0.3">
      <c r="A2860" s="2"/>
      <c r="H2860" s="3"/>
      <c r="I2860" s="3"/>
    </row>
    <row r="2861" spans="1:9" x14ac:dyDescent="0.3">
      <c r="A2861" s="2"/>
      <c r="H2861" s="3"/>
      <c r="I2861" s="3"/>
    </row>
    <row r="2862" spans="1:9" x14ac:dyDescent="0.3">
      <c r="A2862" s="2"/>
      <c r="H2862" s="3"/>
      <c r="I2862" s="3"/>
    </row>
    <row r="2863" spans="1:9" x14ac:dyDescent="0.3">
      <c r="A2863" s="2"/>
      <c r="H2863" s="3"/>
      <c r="I2863" s="3"/>
    </row>
    <row r="2864" spans="1:9" x14ac:dyDescent="0.3">
      <c r="A2864" s="2"/>
      <c r="H2864" s="3"/>
      <c r="I2864" s="3"/>
    </row>
    <row r="2865" spans="1:9" x14ac:dyDescent="0.3">
      <c r="A2865" s="2"/>
      <c r="H2865" s="3"/>
      <c r="I2865" s="3"/>
    </row>
    <row r="2866" spans="1:9" x14ac:dyDescent="0.3">
      <c r="A2866" s="2"/>
      <c r="H2866" s="3"/>
      <c r="I2866" s="3"/>
    </row>
    <row r="2867" spans="1:9" x14ac:dyDescent="0.3">
      <c r="A2867" s="2"/>
      <c r="H2867" s="3"/>
      <c r="I2867" s="3"/>
    </row>
    <row r="2868" spans="1:9" x14ac:dyDescent="0.3">
      <c r="A2868" s="2"/>
      <c r="H2868" s="3"/>
      <c r="I2868" s="3"/>
    </row>
    <row r="2869" spans="1:9" x14ac:dyDescent="0.3">
      <c r="A2869" s="2"/>
      <c r="H2869" s="3"/>
      <c r="I2869" s="3"/>
    </row>
    <row r="2870" spans="1:9" x14ac:dyDescent="0.3">
      <c r="A2870" s="2"/>
      <c r="H2870" s="3"/>
      <c r="I2870" s="3"/>
    </row>
    <row r="2871" spans="1:9" x14ac:dyDescent="0.3">
      <c r="A2871" s="2"/>
      <c r="H2871" s="3"/>
      <c r="I2871" s="3"/>
    </row>
    <row r="2872" spans="1:9" x14ac:dyDescent="0.3">
      <c r="A2872" s="2"/>
      <c r="H2872" s="3"/>
      <c r="I2872" s="3"/>
    </row>
    <row r="2873" spans="1:9" x14ac:dyDescent="0.3">
      <c r="A2873" s="2"/>
      <c r="H2873" s="3"/>
      <c r="I2873" s="3"/>
    </row>
    <row r="2874" spans="1:9" x14ac:dyDescent="0.3">
      <c r="A2874" s="2"/>
      <c r="H2874" s="3"/>
      <c r="I2874" s="3"/>
    </row>
    <row r="2875" spans="1:9" x14ac:dyDescent="0.3">
      <c r="A2875" s="2"/>
      <c r="H2875" s="3"/>
      <c r="I2875" s="3"/>
    </row>
    <row r="2876" spans="1:9" x14ac:dyDescent="0.3">
      <c r="A2876" s="2"/>
      <c r="H2876" s="3"/>
      <c r="I2876" s="3"/>
    </row>
    <row r="2877" spans="1:9" x14ac:dyDescent="0.3">
      <c r="A2877" s="2"/>
      <c r="H2877" s="3"/>
      <c r="I2877" s="3"/>
    </row>
    <row r="2878" spans="1:9" x14ac:dyDescent="0.3">
      <c r="A2878" s="2"/>
      <c r="H2878" s="3"/>
      <c r="I2878" s="3"/>
    </row>
    <row r="2879" spans="1:9" x14ac:dyDescent="0.3">
      <c r="A2879" s="2"/>
      <c r="H2879" s="3"/>
      <c r="I2879" s="3"/>
    </row>
    <row r="2880" spans="1:9" x14ac:dyDescent="0.3">
      <c r="A2880" s="2"/>
      <c r="H2880" s="3"/>
      <c r="I2880" s="3"/>
    </row>
    <row r="2881" spans="1:9" x14ac:dyDescent="0.3">
      <c r="A2881" s="2"/>
      <c r="H2881" s="3"/>
      <c r="I2881" s="3"/>
    </row>
    <row r="2882" spans="1:9" x14ac:dyDescent="0.3">
      <c r="A2882" s="2"/>
      <c r="H2882" s="3"/>
      <c r="I2882" s="3"/>
    </row>
    <row r="2883" spans="1:9" x14ac:dyDescent="0.3">
      <c r="A2883" s="2"/>
      <c r="H2883" s="3"/>
      <c r="I2883" s="3"/>
    </row>
    <row r="2884" spans="1:9" x14ac:dyDescent="0.3">
      <c r="A2884" s="2"/>
      <c r="H2884" s="3"/>
      <c r="I2884" s="3"/>
    </row>
    <row r="2885" spans="1:9" x14ac:dyDescent="0.3">
      <c r="A2885" s="2"/>
      <c r="H2885" s="3"/>
      <c r="I2885" s="3"/>
    </row>
    <row r="2886" spans="1:9" x14ac:dyDescent="0.3">
      <c r="A2886" s="2"/>
      <c r="H2886" s="3"/>
      <c r="I2886" s="3"/>
    </row>
    <row r="2887" spans="1:9" x14ac:dyDescent="0.3">
      <c r="A2887" s="2"/>
      <c r="H2887" s="3"/>
      <c r="I2887" s="3"/>
    </row>
    <row r="2888" spans="1:9" x14ac:dyDescent="0.3">
      <c r="A2888" s="2"/>
      <c r="H2888" s="3"/>
      <c r="I2888" s="3"/>
    </row>
    <row r="2889" spans="1:9" x14ac:dyDescent="0.3">
      <c r="A2889" s="2"/>
      <c r="H2889" s="3"/>
      <c r="I2889" s="3"/>
    </row>
    <row r="2890" spans="1:9" x14ac:dyDescent="0.3">
      <c r="A2890" s="2"/>
      <c r="H2890" s="3"/>
      <c r="I2890" s="3"/>
    </row>
    <row r="2891" spans="1:9" x14ac:dyDescent="0.3">
      <c r="A2891" s="2"/>
      <c r="H2891" s="3"/>
      <c r="I2891" s="3"/>
    </row>
    <row r="2892" spans="1:9" x14ac:dyDescent="0.3">
      <c r="A2892" s="2"/>
      <c r="H2892" s="3"/>
      <c r="I2892" s="3"/>
    </row>
    <row r="2893" spans="1:9" x14ac:dyDescent="0.3">
      <c r="A2893" s="2"/>
      <c r="H2893" s="3"/>
      <c r="I2893" s="3"/>
    </row>
    <row r="2894" spans="1:9" x14ac:dyDescent="0.3">
      <c r="A2894" s="2"/>
      <c r="H2894" s="3"/>
      <c r="I2894" s="3"/>
    </row>
    <row r="2895" spans="1:9" x14ac:dyDescent="0.3">
      <c r="A2895" s="2"/>
      <c r="H2895" s="3"/>
      <c r="I2895" s="3"/>
    </row>
    <row r="2896" spans="1:9" x14ac:dyDescent="0.3">
      <c r="A2896" s="2"/>
      <c r="H2896" s="3"/>
      <c r="I2896" s="3"/>
    </row>
    <row r="2897" spans="1:9" x14ac:dyDescent="0.3">
      <c r="A2897" s="2"/>
      <c r="H2897" s="3"/>
      <c r="I2897" s="3"/>
    </row>
    <row r="2898" spans="1:9" x14ac:dyDescent="0.3">
      <c r="A2898" s="2"/>
      <c r="H2898" s="3"/>
      <c r="I2898" s="3"/>
    </row>
    <row r="2899" spans="1:9" x14ac:dyDescent="0.3">
      <c r="A2899" s="2"/>
      <c r="H2899" s="3"/>
      <c r="I2899" s="3"/>
    </row>
    <row r="2900" spans="1:9" x14ac:dyDescent="0.3">
      <c r="A2900" s="2"/>
      <c r="H2900" s="3"/>
      <c r="I2900" s="3"/>
    </row>
    <row r="2901" spans="1:9" x14ac:dyDescent="0.3">
      <c r="A2901" s="2"/>
      <c r="H2901" s="3"/>
      <c r="I2901" s="3"/>
    </row>
    <row r="2902" spans="1:9" x14ac:dyDescent="0.3">
      <c r="A2902" s="2"/>
      <c r="H2902" s="3"/>
      <c r="I2902" s="3"/>
    </row>
    <row r="2903" spans="1:9" x14ac:dyDescent="0.3">
      <c r="A2903" s="2"/>
      <c r="H2903" s="3"/>
      <c r="I2903" s="3"/>
    </row>
    <row r="2904" spans="1:9" x14ac:dyDescent="0.3">
      <c r="A2904" s="2"/>
      <c r="H2904" s="3"/>
      <c r="I2904" s="3"/>
    </row>
    <row r="2905" spans="1:9" x14ac:dyDescent="0.3">
      <c r="A2905" s="2"/>
      <c r="H2905" s="3"/>
      <c r="I2905" s="3"/>
    </row>
    <row r="2906" spans="1:9" x14ac:dyDescent="0.3">
      <c r="A2906" s="2"/>
      <c r="H2906" s="3"/>
      <c r="I2906" s="3"/>
    </row>
    <row r="2907" spans="1:9" x14ac:dyDescent="0.3">
      <c r="A2907" s="2"/>
      <c r="H2907" s="3"/>
      <c r="I2907" s="3"/>
    </row>
    <row r="2908" spans="1:9" x14ac:dyDescent="0.3">
      <c r="A2908" s="2"/>
      <c r="H2908" s="3"/>
      <c r="I2908" s="3"/>
    </row>
    <row r="2909" spans="1:9" x14ac:dyDescent="0.3">
      <c r="A2909" s="2"/>
      <c r="H2909" s="3"/>
      <c r="I2909" s="3"/>
    </row>
    <row r="2910" spans="1:9" x14ac:dyDescent="0.3">
      <c r="A2910" s="2"/>
      <c r="H2910" s="3"/>
      <c r="I2910" s="3"/>
    </row>
    <row r="2911" spans="1:9" x14ac:dyDescent="0.3">
      <c r="A2911" s="2"/>
      <c r="H2911" s="3"/>
      <c r="I2911" s="3"/>
    </row>
    <row r="2912" spans="1:9" x14ac:dyDescent="0.3">
      <c r="A2912" s="2"/>
      <c r="H2912" s="3"/>
      <c r="I2912" s="3"/>
    </row>
    <row r="2913" spans="1:9" x14ac:dyDescent="0.3">
      <c r="A2913" s="2"/>
      <c r="H2913" s="3"/>
      <c r="I2913" s="3"/>
    </row>
    <row r="2914" spans="1:9" x14ac:dyDescent="0.3">
      <c r="A2914" s="2"/>
      <c r="H2914" s="3"/>
      <c r="I2914" s="3"/>
    </row>
    <row r="2915" spans="1:9" x14ac:dyDescent="0.3">
      <c r="A2915" s="2"/>
      <c r="H2915" s="3"/>
      <c r="I2915" s="3"/>
    </row>
    <row r="2916" spans="1:9" x14ac:dyDescent="0.3">
      <c r="A2916" s="2"/>
      <c r="H2916" s="3"/>
      <c r="I2916" s="3"/>
    </row>
    <row r="2917" spans="1:9" x14ac:dyDescent="0.3">
      <c r="A2917" s="2"/>
      <c r="H2917" s="3"/>
      <c r="I2917" s="3"/>
    </row>
    <row r="2918" spans="1:9" x14ac:dyDescent="0.3">
      <c r="A2918" s="2"/>
      <c r="H2918" s="3"/>
      <c r="I2918" s="3"/>
    </row>
    <row r="2919" spans="1:9" x14ac:dyDescent="0.3">
      <c r="A2919" s="2"/>
      <c r="H2919" s="3"/>
      <c r="I2919" s="3"/>
    </row>
    <row r="2920" spans="1:9" x14ac:dyDescent="0.3">
      <c r="A2920" s="2"/>
      <c r="H2920" s="3"/>
      <c r="I2920" s="3"/>
    </row>
    <row r="2921" spans="1:9" x14ac:dyDescent="0.3">
      <c r="A2921" s="2"/>
      <c r="H2921" s="3"/>
      <c r="I2921" s="3"/>
    </row>
    <row r="2922" spans="1:9" x14ac:dyDescent="0.3">
      <c r="A2922" s="2"/>
      <c r="H2922" s="3"/>
      <c r="I2922" s="3"/>
    </row>
    <row r="2923" spans="1:9" x14ac:dyDescent="0.3">
      <c r="A2923" s="2"/>
      <c r="H2923" s="3"/>
      <c r="I2923" s="3"/>
    </row>
    <row r="2924" spans="1:9" x14ac:dyDescent="0.3">
      <c r="A2924" s="2"/>
      <c r="H2924" s="3"/>
      <c r="I2924" s="3"/>
    </row>
    <row r="2925" spans="1:9" x14ac:dyDescent="0.3">
      <c r="A2925" s="2"/>
      <c r="H2925" s="3"/>
      <c r="I2925" s="3"/>
    </row>
    <row r="2926" spans="1:9" x14ac:dyDescent="0.3">
      <c r="A2926" s="2"/>
      <c r="H2926" s="3"/>
      <c r="I2926" s="3"/>
    </row>
    <row r="2927" spans="1:9" x14ac:dyDescent="0.3">
      <c r="A2927" s="2"/>
      <c r="H2927" s="3"/>
      <c r="I2927" s="3"/>
    </row>
    <row r="2928" spans="1:9" x14ac:dyDescent="0.3">
      <c r="A2928" s="2"/>
      <c r="H2928" s="3"/>
      <c r="I2928" s="3"/>
    </row>
    <row r="2929" spans="1:9" x14ac:dyDescent="0.3">
      <c r="A2929" s="2"/>
      <c r="H2929" s="3"/>
      <c r="I2929" s="3"/>
    </row>
    <row r="2930" spans="1:9" x14ac:dyDescent="0.3">
      <c r="A2930" s="2"/>
      <c r="H2930" s="3"/>
      <c r="I2930" s="3"/>
    </row>
    <row r="2931" spans="1:9" x14ac:dyDescent="0.3">
      <c r="A2931" s="2"/>
      <c r="H2931" s="3"/>
      <c r="I2931" s="3"/>
    </row>
    <row r="2932" spans="1:9" x14ac:dyDescent="0.3">
      <c r="A2932" s="2"/>
      <c r="H2932" s="3"/>
      <c r="I2932" s="3"/>
    </row>
    <row r="2933" spans="1:9" x14ac:dyDescent="0.3">
      <c r="A2933" s="2"/>
      <c r="H2933" s="3"/>
      <c r="I2933" s="3"/>
    </row>
    <row r="2934" spans="1:9" x14ac:dyDescent="0.3">
      <c r="A2934" s="2"/>
      <c r="H2934" s="3"/>
      <c r="I2934" s="3"/>
    </row>
    <row r="2935" spans="1:9" x14ac:dyDescent="0.3">
      <c r="A2935" s="2"/>
      <c r="H2935" s="3"/>
      <c r="I2935" s="3"/>
    </row>
    <row r="2936" spans="1:9" x14ac:dyDescent="0.3">
      <c r="A2936" s="2"/>
      <c r="H2936" s="3"/>
      <c r="I2936" s="3"/>
    </row>
    <row r="2937" spans="1:9" x14ac:dyDescent="0.3">
      <c r="A2937" s="2"/>
      <c r="H2937" s="3"/>
      <c r="I2937" s="3"/>
    </row>
    <row r="2938" spans="1:9" x14ac:dyDescent="0.3">
      <c r="A2938" s="2"/>
      <c r="H2938" s="3"/>
      <c r="I2938" s="3"/>
    </row>
    <row r="2939" spans="1:9" x14ac:dyDescent="0.3">
      <c r="A2939" s="2"/>
      <c r="H2939" s="3"/>
      <c r="I2939" s="3"/>
    </row>
    <row r="2940" spans="1:9" x14ac:dyDescent="0.3">
      <c r="A2940" s="2"/>
      <c r="H2940" s="3"/>
      <c r="I2940" s="3"/>
    </row>
    <row r="2941" spans="1:9" x14ac:dyDescent="0.3">
      <c r="A2941" s="2"/>
      <c r="H2941" s="3"/>
      <c r="I2941" s="3"/>
    </row>
    <row r="2942" spans="1:9" x14ac:dyDescent="0.3">
      <c r="A2942" s="2"/>
      <c r="H2942" s="3"/>
      <c r="I2942" s="3"/>
    </row>
    <row r="2943" spans="1:9" x14ac:dyDescent="0.3">
      <c r="A2943" s="2"/>
      <c r="H2943" s="3"/>
      <c r="I2943" s="3"/>
    </row>
    <row r="2944" spans="1:9" x14ac:dyDescent="0.3">
      <c r="A2944" s="2"/>
      <c r="H2944" s="3"/>
      <c r="I2944" s="3"/>
    </row>
    <row r="2945" spans="1:9" x14ac:dyDescent="0.3">
      <c r="A2945" s="2"/>
      <c r="H2945" s="3"/>
      <c r="I2945" s="3"/>
    </row>
    <row r="2946" spans="1:9" x14ac:dyDescent="0.3">
      <c r="A2946" s="2"/>
      <c r="H2946" s="3"/>
      <c r="I2946" s="3"/>
    </row>
    <row r="2947" spans="1:9" x14ac:dyDescent="0.3">
      <c r="A2947" s="2"/>
      <c r="H2947" s="3"/>
      <c r="I2947" s="3"/>
    </row>
    <row r="2948" spans="1:9" x14ac:dyDescent="0.3">
      <c r="A2948" s="2"/>
      <c r="H2948" s="3"/>
      <c r="I2948" s="3"/>
    </row>
    <row r="2949" spans="1:9" x14ac:dyDescent="0.3">
      <c r="A2949" s="2"/>
      <c r="H2949" s="3"/>
      <c r="I2949" s="3"/>
    </row>
    <row r="2950" spans="1:9" x14ac:dyDescent="0.3">
      <c r="A2950" s="2"/>
      <c r="H2950" s="3"/>
      <c r="I2950" s="3"/>
    </row>
    <row r="2951" spans="1:9" x14ac:dyDescent="0.3">
      <c r="A2951" s="2"/>
      <c r="H2951" s="3"/>
      <c r="I2951" s="3"/>
    </row>
    <row r="2952" spans="1:9" x14ac:dyDescent="0.3">
      <c r="A2952" s="2"/>
      <c r="H2952" s="3"/>
      <c r="I2952" s="3"/>
    </row>
    <row r="2953" spans="1:9" x14ac:dyDescent="0.3">
      <c r="A2953" s="2"/>
      <c r="H2953" s="3"/>
      <c r="I2953" s="3"/>
    </row>
    <row r="2954" spans="1:9" x14ac:dyDescent="0.3">
      <c r="A2954" s="2"/>
      <c r="H2954" s="3"/>
      <c r="I2954" s="3"/>
    </row>
    <row r="2955" spans="1:9" x14ac:dyDescent="0.3">
      <c r="A2955" s="2"/>
      <c r="H2955" s="3"/>
      <c r="I2955" s="3"/>
    </row>
    <row r="2956" spans="1:9" x14ac:dyDescent="0.3">
      <c r="A2956" s="2"/>
      <c r="H2956" s="3"/>
      <c r="I2956" s="3"/>
    </row>
    <row r="2957" spans="1:9" x14ac:dyDescent="0.3">
      <c r="A2957" s="2"/>
      <c r="H2957" s="3"/>
      <c r="I2957" s="3"/>
    </row>
    <row r="2958" spans="1:9" x14ac:dyDescent="0.3">
      <c r="A2958" s="2"/>
      <c r="H2958" s="3"/>
      <c r="I2958" s="3"/>
    </row>
    <row r="2959" spans="1:9" x14ac:dyDescent="0.3">
      <c r="A2959" s="2"/>
      <c r="H2959" s="3"/>
      <c r="I2959" s="3"/>
    </row>
    <row r="2960" spans="1:9" x14ac:dyDescent="0.3">
      <c r="A2960" s="2"/>
      <c r="H2960" s="3"/>
      <c r="I2960" s="3"/>
    </row>
    <row r="2961" spans="1:9" x14ac:dyDescent="0.3">
      <c r="A2961" s="2"/>
      <c r="H2961" s="3"/>
      <c r="I2961" s="3"/>
    </row>
    <row r="2962" spans="1:9" x14ac:dyDescent="0.3">
      <c r="A2962" s="2"/>
      <c r="H2962" s="3"/>
      <c r="I2962" s="3"/>
    </row>
    <row r="2963" spans="1:9" x14ac:dyDescent="0.3">
      <c r="A2963" s="2"/>
      <c r="H2963" s="3"/>
      <c r="I2963" s="3"/>
    </row>
    <row r="2964" spans="1:9" x14ac:dyDescent="0.3">
      <c r="A2964" s="2"/>
      <c r="H2964" s="3"/>
      <c r="I2964" s="3"/>
    </row>
    <row r="2965" spans="1:9" x14ac:dyDescent="0.3">
      <c r="A2965" s="2"/>
      <c r="H2965" s="3"/>
      <c r="I2965" s="3"/>
    </row>
    <row r="2966" spans="1:9" x14ac:dyDescent="0.3">
      <c r="A2966" s="2"/>
      <c r="H2966" s="3"/>
      <c r="I2966" s="3"/>
    </row>
    <row r="2967" spans="1:9" x14ac:dyDescent="0.3">
      <c r="A2967" s="2"/>
      <c r="H2967" s="3"/>
      <c r="I2967" s="3"/>
    </row>
    <row r="2968" spans="1:9" x14ac:dyDescent="0.3">
      <c r="A2968" s="2"/>
      <c r="H2968" s="3"/>
      <c r="I2968" s="3"/>
    </row>
    <row r="2969" spans="1:9" x14ac:dyDescent="0.3">
      <c r="A2969" s="2"/>
      <c r="H2969" s="3"/>
      <c r="I2969" s="3"/>
    </row>
    <row r="2970" spans="1:9" x14ac:dyDescent="0.3">
      <c r="A2970" s="2"/>
      <c r="H2970" s="3"/>
      <c r="I2970" s="3"/>
    </row>
    <row r="2971" spans="1:9" x14ac:dyDescent="0.3">
      <c r="A2971" s="2"/>
      <c r="H2971" s="3"/>
      <c r="I2971" s="3"/>
    </row>
    <row r="2972" spans="1:9" x14ac:dyDescent="0.3">
      <c r="A2972" s="2"/>
      <c r="H2972" s="3"/>
      <c r="I2972" s="3"/>
    </row>
    <row r="2973" spans="1:9" x14ac:dyDescent="0.3">
      <c r="A2973" s="2"/>
      <c r="H2973" s="3"/>
      <c r="I2973" s="3"/>
    </row>
    <row r="2974" spans="1:9" x14ac:dyDescent="0.3">
      <c r="A2974" s="2"/>
      <c r="H2974" s="3"/>
      <c r="I2974" s="3"/>
    </row>
    <row r="2975" spans="1:9" x14ac:dyDescent="0.3">
      <c r="A2975" s="2"/>
      <c r="H2975" s="3"/>
      <c r="I2975" s="3"/>
    </row>
    <row r="2976" spans="1:9" x14ac:dyDescent="0.3">
      <c r="A2976" s="2"/>
      <c r="H2976" s="3"/>
      <c r="I2976" s="3"/>
    </row>
    <row r="2977" spans="1:9" x14ac:dyDescent="0.3">
      <c r="A2977" s="2"/>
      <c r="H2977" s="3"/>
      <c r="I2977" s="3"/>
    </row>
    <row r="2978" spans="1:9" x14ac:dyDescent="0.3">
      <c r="A2978" s="2"/>
      <c r="H2978" s="3"/>
      <c r="I2978" s="3"/>
    </row>
    <row r="2979" spans="1:9" x14ac:dyDescent="0.3">
      <c r="A2979" s="2"/>
      <c r="H2979" s="3"/>
      <c r="I2979" s="3"/>
    </row>
    <row r="2980" spans="1:9" x14ac:dyDescent="0.3">
      <c r="A2980" s="2"/>
      <c r="H2980" s="3"/>
      <c r="I2980" s="3"/>
    </row>
    <row r="2981" spans="1:9" x14ac:dyDescent="0.3">
      <c r="A2981" s="2"/>
      <c r="H2981" s="3"/>
      <c r="I2981" s="3"/>
    </row>
    <row r="2982" spans="1:9" x14ac:dyDescent="0.3">
      <c r="A2982" s="2"/>
      <c r="H2982" s="3"/>
      <c r="I2982" s="3"/>
    </row>
    <row r="2983" spans="1:9" x14ac:dyDescent="0.3">
      <c r="A2983" s="2"/>
      <c r="H2983" s="3"/>
      <c r="I2983" s="3"/>
    </row>
    <row r="2984" spans="1:9" x14ac:dyDescent="0.3">
      <c r="A2984" s="2"/>
      <c r="H2984" s="3"/>
      <c r="I2984" s="3"/>
    </row>
    <row r="2985" spans="1:9" x14ac:dyDescent="0.3">
      <c r="A2985" s="2"/>
      <c r="H2985" s="3"/>
      <c r="I2985" s="3"/>
    </row>
    <row r="2986" spans="1:9" x14ac:dyDescent="0.3">
      <c r="A2986" s="2"/>
      <c r="H2986" s="3"/>
      <c r="I2986" s="3"/>
    </row>
    <row r="2987" spans="1:9" x14ac:dyDescent="0.3">
      <c r="A2987" s="2"/>
      <c r="H2987" s="3"/>
      <c r="I2987" s="3"/>
    </row>
    <row r="2988" spans="1:9" x14ac:dyDescent="0.3">
      <c r="A2988" s="2"/>
      <c r="H2988" s="3"/>
      <c r="I2988" s="3"/>
    </row>
    <row r="2989" spans="1:9" x14ac:dyDescent="0.3">
      <c r="A2989" s="2"/>
      <c r="H2989" s="3"/>
      <c r="I2989" s="3"/>
    </row>
    <row r="2990" spans="1:9" x14ac:dyDescent="0.3">
      <c r="A2990" s="2"/>
      <c r="H2990" s="3"/>
      <c r="I2990" s="3"/>
    </row>
    <row r="2991" spans="1:9" x14ac:dyDescent="0.3">
      <c r="A2991" s="2"/>
      <c r="H2991" s="3"/>
      <c r="I2991" s="3"/>
    </row>
    <row r="2992" spans="1:9" x14ac:dyDescent="0.3">
      <c r="A2992" s="2"/>
      <c r="H2992" s="3"/>
      <c r="I2992" s="3"/>
    </row>
    <row r="2993" spans="1:9" x14ac:dyDescent="0.3">
      <c r="A2993" s="2"/>
      <c r="H2993" s="3"/>
      <c r="I2993" s="3"/>
    </row>
    <row r="2994" spans="1:9" x14ac:dyDescent="0.3">
      <c r="A2994" s="2"/>
      <c r="H2994" s="3"/>
      <c r="I2994" s="3"/>
    </row>
    <row r="2995" spans="1:9" x14ac:dyDescent="0.3">
      <c r="A2995" s="2"/>
      <c r="H2995" s="3"/>
      <c r="I2995" s="3"/>
    </row>
    <row r="2996" spans="1:9" x14ac:dyDescent="0.3">
      <c r="A2996" s="2"/>
      <c r="H2996" s="3"/>
      <c r="I2996" s="3"/>
    </row>
    <row r="2997" spans="1:9" x14ac:dyDescent="0.3">
      <c r="A2997" s="2"/>
      <c r="H2997" s="3"/>
      <c r="I2997" s="3"/>
    </row>
    <row r="2998" spans="1:9" x14ac:dyDescent="0.3">
      <c r="A2998" s="2"/>
      <c r="H2998" s="3"/>
      <c r="I2998" s="3"/>
    </row>
    <row r="2999" spans="1:9" x14ac:dyDescent="0.3">
      <c r="A2999" s="2"/>
      <c r="H2999" s="3"/>
      <c r="I2999" s="3"/>
    </row>
    <row r="3000" spans="1:9" x14ac:dyDescent="0.3">
      <c r="A3000" s="2"/>
      <c r="H3000" s="3"/>
      <c r="I3000" s="3"/>
    </row>
    <row r="3001" spans="1:9" x14ac:dyDescent="0.3">
      <c r="A3001" s="2"/>
      <c r="H3001" s="3"/>
      <c r="I3001" s="3"/>
    </row>
    <row r="3002" spans="1:9" x14ac:dyDescent="0.3">
      <c r="A3002" s="2"/>
      <c r="H3002" s="3"/>
      <c r="I3002" s="3"/>
    </row>
    <row r="3003" spans="1:9" x14ac:dyDescent="0.3">
      <c r="A3003" s="2"/>
      <c r="H3003" s="3"/>
      <c r="I3003" s="3"/>
    </row>
    <row r="3004" spans="1:9" x14ac:dyDescent="0.3">
      <c r="A3004" s="2"/>
      <c r="H3004" s="3"/>
      <c r="I3004" s="3"/>
    </row>
    <row r="3005" spans="1:9" x14ac:dyDescent="0.3">
      <c r="A3005" s="2"/>
      <c r="H3005" s="3"/>
      <c r="I3005" s="3"/>
    </row>
    <row r="3006" spans="1:9" x14ac:dyDescent="0.3">
      <c r="A3006" s="2"/>
      <c r="H3006" s="3"/>
      <c r="I3006" s="3"/>
    </row>
    <row r="3007" spans="1:9" x14ac:dyDescent="0.3">
      <c r="A3007" s="2"/>
      <c r="H3007" s="3"/>
      <c r="I3007" s="3"/>
    </row>
    <row r="3008" spans="1:9" x14ac:dyDescent="0.3">
      <c r="A3008" s="2"/>
      <c r="H3008" s="3"/>
      <c r="I3008" s="3"/>
    </row>
    <row r="3009" spans="1:9" x14ac:dyDescent="0.3">
      <c r="A3009" s="2"/>
      <c r="H3009" s="3"/>
      <c r="I3009" s="3"/>
    </row>
    <row r="3010" spans="1:9" x14ac:dyDescent="0.3">
      <c r="A3010" s="2"/>
      <c r="H3010" s="3"/>
      <c r="I3010" s="3"/>
    </row>
    <row r="3011" spans="1:9" x14ac:dyDescent="0.3">
      <c r="A3011" s="2"/>
      <c r="H3011" s="3"/>
      <c r="I3011" s="3"/>
    </row>
    <row r="3012" spans="1:9" x14ac:dyDescent="0.3">
      <c r="A3012" s="2"/>
      <c r="H3012" s="3"/>
      <c r="I3012" s="3"/>
    </row>
    <row r="3013" spans="1:9" x14ac:dyDescent="0.3">
      <c r="A3013" s="2"/>
      <c r="H3013" s="3"/>
      <c r="I3013" s="3"/>
    </row>
    <row r="3014" spans="1:9" x14ac:dyDescent="0.3">
      <c r="A3014" s="2"/>
      <c r="H3014" s="3"/>
      <c r="I3014" s="3"/>
    </row>
    <row r="3015" spans="1:9" x14ac:dyDescent="0.3">
      <c r="A3015" s="2"/>
      <c r="H3015" s="3"/>
      <c r="I3015" s="3"/>
    </row>
    <row r="3016" spans="1:9" x14ac:dyDescent="0.3">
      <c r="A3016" s="2"/>
      <c r="H3016" s="3"/>
      <c r="I3016" s="3"/>
    </row>
    <row r="3017" spans="1:9" x14ac:dyDescent="0.3">
      <c r="A3017" s="2"/>
      <c r="H3017" s="3"/>
      <c r="I3017" s="3"/>
    </row>
    <row r="3018" spans="1:9" x14ac:dyDescent="0.3">
      <c r="A3018" s="2"/>
      <c r="H3018" s="3"/>
      <c r="I3018" s="3"/>
    </row>
    <row r="3019" spans="1:9" x14ac:dyDescent="0.3">
      <c r="A3019" s="2"/>
      <c r="H3019" s="3"/>
      <c r="I3019" s="3"/>
    </row>
    <row r="3020" spans="1:9" x14ac:dyDescent="0.3">
      <c r="A3020" s="2"/>
      <c r="H3020" s="3"/>
      <c r="I3020" s="3"/>
    </row>
    <row r="3021" spans="1:9" x14ac:dyDescent="0.3">
      <c r="A3021" s="2"/>
      <c r="H3021" s="3"/>
      <c r="I3021" s="3"/>
    </row>
    <row r="3022" spans="1:9" x14ac:dyDescent="0.3">
      <c r="A3022" s="2"/>
      <c r="H3022" s="3"/>
      <c r="I3022" s="3"/>
    </row>
    <row r="3023" spans="1:9" x14ac:dyDescent="0.3">
      <c r="A3023" s="2"/>
      <c r="H3023" s="3"/>
      <c r="I3023" s="3"/>
    </row>
    <row r="3024" spans="1:9" x14ac:dyDescent="0.3">
      <c r="A3024" s="2"/>
      <c r="H3024" s="3"/>
      <c r="I3024" s="3"/>
    </row>
    <row r="3025" spans="1:9" x14ac:dyDescent="0.3">
      <c r="A3025" s="2"/>
      <c r="H3025" s="3"/>
      <c r="I3025" s="3"/>
    </row>
    <row r="3026" spans="1:9" x14ac:dyDescent="0.3">
      <c r="A3026" s="2"/>
      <c r="H3026" s="3"/>
      <c r="I3026" s="3"/>
    </row>
    <row r="3027" spans="1:9" x14ac:dyDescent="0.3">
      <c r="A3027" s="2"/>
      <c r="H3027" s="3"/>
      <c r="I3027" s="3"/>
    </row>
    <row r="3028" spans="1:9" x14ac:dyDescent="0.3">
      <c r="A3028" s="2"/>
      <c r="H3028" s="3"/>
      <c r="I3028" s="3"/>
    </row>
    <row r="3029" spans="1:9" x14ac:dyDescent="0.3">
      <c r="A3029" s="2"/>
      <c r="H3029" s="3"/>
      <c r="I3029" s="3"/>
    </row>
    <row r="3030" spans="1:9" x14ac:dyDescent="0.3">
      <c r="A3030" s="2"/>
      <c r="H3030" s="3"/>
      <c r="I3030" s="3"/>
    </row>
    <row r="3031" spans="1:9" x14ac:dyDescent="0.3">
      <c r="A3031" s="2"/>
      <c r="H3031" s="3"/>
      <c r="I3031" s="3"/>
    </row>
    <row r="3032" spans="1:9" x14ac:dyDescent="0.3">
      <c r="A3032" s="2"/>
      <c r="H3032" s="3"/>
      <c r="I3032" s="3"/>
    </row>
    <row r="3033" spans="1:9" x14ac:dyDescent="0.3">
      <c r="A3033" s="2"/>
      <c r="H3033" s="3"/>
      <c r="I3033" s="3"/>
    </row>
    <row r="3034" spans="1:9" x14ac:dyDescent="0.3">
      <c r="A3034" s="2"/>
      <c r="H3034" s="3"/>
      <c r="I3034" s="3"/>
    </row>
    <row r="3035" spans="1:9" x14ac:dyDescent="0.3">
      <c r="A3035" s="2"/>
      <c r="H3035" s="3"/>
      <c r="I3035" s="3"/>
    </row>
    <row r="3036" spans="1:9" x14ac:dyDescent="0.3">
      <c r="A3036" s="2"/>
      <c r="H3036" s="3"/>
      <c r="I3036" s="3"/>
    </row>
    <row r="3037" spans="1:9" x14ac:dyDescent="0.3">
      <c r="A3037" s="2"/>
      <c r="H3037" s="3"/>
      <c r="I3037" s="3"/>
    </row>
    <row r="3038" spans="1:9" x14ac:dyDescent="0.3">
      <c r="A3038" s="2"/>
      <c r="H3038" s="3"/>
      <c r="I3038" s="3"/>
    </row>
    <row r="3039" spans="1:9" x14ac:dyDescent="0.3">
      <c r="A3039" s="2"/>
      <c r="H3039" s="3"/>
      <c r="I3039" s="3"/>
    </row>
    <row r="3040" spans="1:9" x14ac:dyDescent="0.3">
      <c r="A3040" s="2"/>
      <c r="H3040" s="3"/>
      <c r="I3040" s="3"/>
    </row>
    <row r="3041" spans="1:9" x14ac:dyDescent="0.3">
      <c r="A3041" s="2"/>
      <c r="H3041" s="3"/>
      <c r="I3041" s="3"/>
    </row>
    <row r="3042" spans="1:9" x14ac:dyDescent="0.3">
      <c r="A3042" s="2"/>
      <c r="H3042" s="3"/>
      <c r="I3042" s="3"/>
    </row>
    <row r="3043" spans="1:9" x14ac:dyDescent="0.3">
      <c r="A3043" s="2"/>
      <c r="H3043" s="3"/>
      <c r="I3043" s="3"/>
    </row>
    <row r="3044" spans="1:9" x14ac:dyDescent="0.3">
      <c r="A3044" s="2"/>
      <c r="H3044" s="3"/>
      <c r="I3044" s="3"/>
    </row>
    <row r="3045" spans="1:9" x14ac:dyDescent="0.3">
      <c r="A3045" s="2"/>
      <c r="H3045" s="3"/>
      <c r="I3045" s="3"/>
    </row>
    <row r="3046" spans="1:9" x14ac:dyDescent="0.3">
      <c r="A3046" s="2"/>
      <c r="H3046" s="3"/>
      <c r="I3046" s="3"/>
    </row>
    <row r="3047" spans="1:9" x14ac:dyDescent="0.3">
      <c r="A3047" s="2"/>
      <c r="H3047" s="3"/>
      <c r="I3047" s="3"/>
    </row>
    <row r="3048" spans="1:9" x14ac:dyDescent="0.3">
      <c r="A3048" s="2"/>
      <c r="H3048" s="3"/>
      <c r="I3048" s="3"/>
    </row>
    <row r="3049" spans="1:9" x14ac:dyDescent="0.3">
      <c r="A3049" s="2"/>
      <c r="H3049" s="3"/>
      <c r="I3049" s="3"/>
    </row>
    <row r="3050" spans="1:9" x14ac:dyDescent="0.3">
      <c r="A3050" s="2"/>
      <c r="H3050" s="3"/>
      <c r="I3050" s="3"/>
    </row>
    <row r="3051" spans="1:9" x14ac:dyDescent="0.3">
      <c r="A3051" s="2"/>
      <c r="H3051" s="3"/>
      <c r="I3051" s="3"/>
    </row>
    <row r="3052" spans="1:9" x14ac:dyDescent="0.3">
      <c r="A3052" s="2"/>
      <c r="H3052" s="3"/>
      <c r="I3052" s="3"/>
    </row>
    <row r="3053" spans="1:9" x14ac:dyDescent="0.3">
      <c r="A3053" s="2"/>
      <c r="H3053" s="3"/>
      <c r="I3053" s="3"/>
    </row>
    <row r="3054" spans="1:9" x14ac:dyDescent="0.3">
      <c r="A3054" s="2"/>
      <c r="H3054" s="3"/>
      <c r="I3054" s="3"/>
    </row>
    <row r="3055" spans="1:9" x14ac:dyDescent="0.3">
      <c r="A3055" s="2"/>
      <c r="H3055" s="3"/>
      <c r="I3055" s="3"/>
    </row>
    <row r="3056" spans="1:9" x14ac:dyDescent="0.3">
      <c r="A3056" s="2"/>
      <c r="H3056" s="3"/>
      <c r="I3056" s="3"/>
    </row>
    <row r="3057" spans="1:9" x14ac:dyDescent="0.3">
      <c r="A3057" s="2"/>
      <c r="H3057" s="3"/>
      <c r="I3057" s="3"/>
    </row>
    <row r="3058" spans="1:9" x14ac:dyDescent="0.3">
      <c r="A3058" s="2"/>
      <c r="H3058" s="3"/>
      <c r="I3058" s="3"/>
    </row>
    <row r="3059" spans="1:9" x14ac:dyDescent="0.3">
      <c r="A3059" s="2"/>
      <c r="H3059" s="3"/>
      <c r="I3059" s="3"/>
    </row>
    <row r="3060" spans="1:9" x14ac:dyDescent="0.3">
      <c r="A3060" s="2"/>
      <c r="H3060" s="3"/>
      <c r="I3060" s="3"/>
    </row>
    <row r="3061" spans="1:9" x14ac:dyDescent="0.3">
      <c r="A3061" s="2"/>
      <c r="H3061" s="3"/>
      <c r="I3061" s="3"/>
    </row>
    <row r="3062" spans="1:9" x14ac:dyDescent="0.3">
      <c r="A3062" s="2"/>
      <c r="H3062" s="3"/>
      <c r="I3062" s="3"/>
    </row>
    <row r="3063" spans="1:9" x14ac:dyDescent="0.3">
      <c r="A3063" s="2"/>
      <c r="H3063" s="3"/>
      <c r="I3063" s="3"/>
    </row>
    <row r="3064" spans="1:9" x14ac:dyDescent="0.3">
      <c r="A3064" s="2"/>
      <c r="H3064" s="3"/>
      <c r="I3064" s="3"/>
    </row>
    <row r="3065" spans="1:9" x14ac:dyDescent="0.3">
      <c r="A3065" s="2"/>
      <c r="H3065" s="3"/>
      <c r="I3065" s="3"/>
    </row>
    <row r="3066" spans="1:9" x14ac:dyDescent="0.3">
      <c r="A3066" s="2"/>
      <c r="H3066" s="3"/>
      <c r="I3066" s="3"/>
    </row>
    <row r="3067" spans="1:9" x14ac:dyDescent="0.3">
      <c r="A3067" s="2"/>
      <c r="H3067" s="3"/>
      <c r="I3067" s="3"/>
    </row>
    <row r="3068" spans="1:9" x14ac:dyDescent="0.3">
      <c r="A3068" s="2"/>
      <c r="H3068" s="3"/>
      <c r="I3068" s="3"/>
    </row>
    <row r="3069" spans="1:9" x14ac:dyDescent="0.3">
      <c r="A3069" s="2"/>
      <c r="H3069" s="3"/>
      <c r="I3069" s="3"/>
    </row>
    <row r="3070" spans="1:9" x14ac:dyDescent="0.3">
      <c r="A3070" s="2"/>
      <c r="H3070" s="3"/>
      <c r="I3070" s="3"/>
    </row>
    <row r="3071" spans="1:9" x14ac:dyDescent="0.3">
      <c r="A3071" s="2"/>
      <c r="H3071" s="3"/>
      <c r="I3071" s="3"/>
    </row>
    <row r="3072" spans="1:9" x14ac:dyDescent="0.3">
      <c r="A3072" s="2"/>
      <c r="H3072" s="3"/>
      <c r="I3072" s="3"/>
    </row>
    <row r="3073" spans="1:9" x14ac:dyDescent="0.3">
      <c r="A3073" s="2"/>
      <c r="H3073" s="3"/>
      <c r="I3073" s="3"/>
    </row>
    <row r="3074" spans="1:9" x14ac:dyDescent="0.3">
      <c r="A3074" s="2"/>
      <c r="H3074" s="3"/>
      <c r="I3074" s="3"/>
    </row>
    <row r="3075" spans="1:9" x14ac:dyDescent="0.3">
      <c r="A3075" s="2"/>
      <c r="H3075" s="3"/>
      <c r="I3075" s="3"/>
    </row>
    <row r="3076" spans="1:9" x14ac:dyDescent="0.3">
      <c r="A3076" s="2"/>
      <c r="H3076" s="3"/>
      <c r="I3076" s="3"/>
    </row>
    <row r="3077" spans="1:9" x14ac:dyDescent="0.3">
      <c r="A3077" s="2"/>
      <c r="H3077" s="3"/>
      <c r="I3077" s="3"/>
    </row>
    <row r="3078" spans="1:9" x14ac:dyDescent="0.3">
      <c r="A3078" s="2"/>
      <c r="H3078" s="3"/>
      <c r="I3078" s="3"/>
    </row>
    <row r="3079" spans="1:9" x14ac:dyDescent="0.3">
      <c r="A3079" s="2"/>
      <c r="H3079" s="3"/>
      <c r="I3079" s="3"/>
    </row>
    <row r="3080" spans="1:9" x14ac:dyDescent="0.3">
      <c r="A3080" s="2"/>
      <c r="H3080" s="3"/>
      <c r="I3080" s="3"/>
    </row>
    <row r="3081" spans="1:9" x14ac:dyDescent="0.3">
      <c r="A3081" s="2"/>
      <c r="H3081" s="3"/>
      <c r="I3081" s="3"/>
    </row>
    <row r="3082" spans="1:9" x14ac:dyDescent="0.3">
      <c r="A3082" s="2"/>
      <c r="H3082" s="3"/>
      <c r="I3082" s="3"/>
    </row>
    <row r="3083" spans="1:9" x14ac:dyDescent="0.3">
      <c r="A3083" s="2"/>
      <c r="H3083" s="3"/>
      <c r="I3083" s="3"/>
    </row>
    <row r="3084" spans="1:9" x14ac:dyDescent="0.3">
      <c r="A3084" s="2"/>
      <c r="H3084" s="3"/>
      <c r="I3084" s="3"/>
    </row>
    <row r="3085" spans="1:9" x14ac:dyDescent="0.3">
      <c r="A3085" s="2"/>
      <c r="H3085" s="3"/>
      <c r="I3085" s="3"/>
    </row>
    <row r="3086" spans="1:9" x14ac:dyDescent="0.3">
      <c r="A3086" s="2"/>
      <c r="H3086" s="3"/>
      <c r="I3086" s="3"/>
    </row>
    <row r="3087" spans="1:9" x14ac:dyDescent="0.3">
      <c r="A3087" s="2"/>
      <c r="H3087" s="3"/>
      <c r="I3087" s="3"/>
    </row>
    <row r="3088" spans="1:9" x14ac:dyDescent="0.3">
      <c r="A3088" s="2"/>
      <c r="H3088" s="3"/>
      <c r="I3088" s="3"/>
    </row>
    <row r="3089" spans="1:9" x14ac:dyDescent="0.3">
      <c r="A3089" s="2"/>
      <c r="H3089" s="3"/>
      <c r="I3089" s="3"/>
    </row>
    <row r="3090" spans="1:9" x14ac:dyDescent="0.3">
      <c r="A3090" s="2"/>
      <c r="H3090" s="3"/>
      <c r="I3090" s="3"/>
    </row>
    <row r="3091" spans="1:9" x14ac:dyDescent="0.3">
      <c r="A3091" s="2"/>
      <c r="H3091" s="3"/>
      <c r="I3091" s="3"/>
    </row>
    <row r="3092" spans="1:9" x14ac:dyDescent="0.3">
      <c r="A3092" s="2"/>
      <c r="H3092" s="3"/>
      <c r="I3092" s="3"/>
    </row>
    <row r="3093" spans="1:9" x14ac:dyDescent="0.3">
      <c r="A3093" s="2"/>
      <c r="H3093" s="3"/>
      <c r="I3093" s="3"/>
    </row>
    <row r="3094" spans="1:9" x14ac:dyDescent="0.3">
      <c r="A3094" s="2"/>
      <c r="H3094" s="3"/>
      <c r="I3094" s="3"/>
    </row>
    <row r="3095" spans="1:9" x14ac:dyDescent="0.3">
      <c r="A3095" s="2"/>
      <c r="H3095" s="3"/>
      <c r="I3095" s="3"/>
    </row>
    <row r="3096" spans="1:9" x14ac:dyDescent="0.3">
      <c r="A3096" s="2"/>
      <c r="H3096" s="3"/>
      <c r="I3096" s="3"/>
    </row>
    <row r="3097" spans="1:9" x14ac:dyDescent="0.3">
      <c r="A3097" s="2"/>
      <c r="H3097" s="3"/>
      <c r="I3097" s="3"/>
    </row>
    <row r="3098" spans="1:9" x14ac:dyDescent="0.3">
      <c r="A3098" s="2"/>
      <c r="H3098" s="3"/>
      <c r="I3098" s="3"/>
    </row>
    <row r="3099" spans="1:9" x14ac:dyDescent="0.3">
      <c r="A3099" s="2"/>
      <c r="H3099" s="3"/>
      <c r="I3099" s="3"/>
    </row>
    <row r="3100" spans="1:9" x14ac:dyDescent="0.3">
      <c r="A3100" s="2"/>
      <c r="H3100" s="3"/>
      <c r="I3100" s="3"/>
    </row>
    <row r="3101" spans="1:9" x14ac:dyDescent="0.3">
      <c r="A3101" s="2"/>
      <c r="H3101" s="3"/>
      <c r="I3101" s="3"/>
    </row>
    <row r="3102" spans="1:9" x14ac:dyDescent="0.3">
      <c r="A3102" s="2"/>
      <c r="H3102" s="3"/>
      <c r="I3102" s="3"/>
    </row>
    <row r="3103" spans="1:9" x14ac:dyDescent="0.3">
      <c r="A3103" s="2"/>
      <c r="H3103" s="3"/>
      <c r="I3103" s="3"/>
    </row>
    <row r="3104" spans="1:9" x14ac:dyDescent="0.3">
      <c r="A3104" s="2"/>
      <c r="H3104" s="3"/>
      <c r="I3104" s="3"/>
    </row>
    <row r="3105" spans="1:9" x14ac:dyDescent="0.3">
      <c r="A3105" s="2"/>
      <c r="H3105" s="3"/>
      <c r="I3105" s="3"/>
    </row>
    <row r="3106" spans="1:9" x14ac:dyDescent="0.3">
      <c r="A3106" s="2"/>
      <c r="H3106" s="3"/>
      <c r="I3106" s="3"/>
    </row>
    <row r="3107" spans="1:9" x14ac:dyDescent="0.3">
      <c r="A3107" s="2"/>
      <c r="H3107" s="3"/>
      <c r="I3107" s="3"/>
    </row>
    <row r="3108" spans="1:9" x14ac:dyDescent="0.3">
      <c r="A3108" s="2"/>
      <c r="H3108" s="3"/>
      <c r="I3108" s="3"/>
    </row>
    <row r="3109" spans="1:9" x14ac:dyDescent="0.3">
      <c r="A3109" s="2"/>
      <c r="H3109" s="3"/>
      <c r="I3109" s="3"/>
    </row>
    <row r="3110" spans="1:9" x14ac:dyDescent="0.3">
      <c r="A3110" s="2"/>
      <c r="H3110" s="3"/>
      <c r="I3110" s="3"/>
    </row>
    <row r="3111" spans="1:9" x14ac:dyDescent="0.3">
      <c r="A3111" s="2"/>
      <c r="H3111" s="3"/>
      <c r="I3111" s="3"/>
    </row>
    <row r="3112" spans="1:9" x14ac:dyDescent="0.3">
      <c r="A3112" s="2"/>
      <c r="H3112" s="3"/>
      <c r="I3112" s="3"/>
    </row>
    <row r="3113" spans="1:9" x14ac:dyDescent="0.3">
      <c r="A3113" s="2"/>
      <c r="H3113" s="3"/>
      <c r="I3113" s="3"/>
    </row>
    <row r="3114" spans="1:9" x14ac:dyDescent="0.3">
      <c r="A3114" s="2"/>
      <c r="H3114" s="3"/>
      <c r="I3114" s="3"/>
    </row>
    <row r="3115" spans="1:9" x14ac:dyDescent="0.3">
      <c r="A3115" s="2"/>
      <c r="H3115" s="3"/>
      <c r="I3115" s="3"/>
    </row>
    <row r="3116" spans="1:9" x14ac:dyDescent="0.3">
      <c r="A3116" s="2"/>
      <c r="H3116" s="3"/>
      <c r="I3116" s="3"/>
    </row>
    <row r="3117" spans="1:9" x14ac:dyDescent="0.3">
      <c r="A3117" s="2"/>
      <c r="H3117" s="3"/>
      <c r="I3117" s="3"/>
    </row>
    <row r="3118" spans="1:9" x14ac:dyDescent="0.3">
      <c r="A3118" s="2"/>
      <c r="H3118" s="3"/>
      <c r="I3118" s="3"/>
    </row>
    <row r="3119" spans="1:9" x14ac:dyDescent="0.3">
      <c r="A3119" s="2"/>
      <c r="H3119" s="3"/>
      <c r="I3119" s="3"/>
    </row>
    <row r="3120" spans="1:9" x14ac:dyDescent="0.3">
      <c r="A3120" s="2"/>
      <c r="H3120" s="3"/>
      <c r="I3120" s="3"/>
    </row>
    <row r="3121" spans="1:9" x14ac:dyDescent="0.3">
      <c r="A3121" s="2"/>
      <c r="H3121" s="3"/>
      <c r="I3121" s="3"/>
    </row>
    <row r="3122" spans="1:9" x14ac:dyDescent="0.3">
      <c r="A3122" s="2"/>
      <c r="H3122" s="3"/>
      <c r="I3122" s="3"/>
    </row>
    <row r="3123" spans="1:9" x14ac:dyDescent="0.3">
      <c r="A3123" s="2"/>
      <c r="H3123" s="3"/>
      <c r="I3123" s="3"/>
    </row>
    <row r="3124" spans="1:9" x14ac:dyDescent="0.3">
      <c r="A3124" s="2"/>
      <c r="H3124" s="3"/>
      <c r="I3124" s="3"/>
    </row>
    <row r="3125" spans="1:9" x14ac:dyDescent="0.3">
      <c r="A3125" s="2"/>
      <c r="H3125" s="3"/>
      <c r="I3125" s="3"/>
    </row>
    <row r="3126" spans="1:9" x14ac:dyDescent="0.3">
      <c r="A3126" s="2"/>
      <c r="H3126" s="3"/>
      <c r="I3126" s="3"/>
    </row>
    <row r="3127" spans="1:9" x14ac:dyDescent="0.3">
      <c r="A3127" s="2"/>
      <c r="H3127" s="3"/>
      <c r="I3127" s="3"/>
    </row>
    <row r="3128" spans="1:9" x14ac:dyDescent="0.3">
      <c r="A3128" s="2"/>
      <c r="H3128" s="3"/>
      <c r="I3128" s="3"/>
    </row>
    <row r="3129" spans="1:9" x14ac:dyDescent="0.3">
      <c r="A3129" s="2"/>
      <c r="H3129" s="3"/>
      <c r="I3129" s="3"/>
    </row>
    <row r="3130" spans="1:9" x14ac:dyDescent="0.3">
      <c r="A3130" s="2"/>
      <c r="H3130" s="3"/>
      <c r="I3130" s="3"/>
    </row>
    <row r="3131" spans="1:9" x14ac:dyDescent="0.3">
      <c r="A3131" s="2"/>
      <c r="H3131" s="3"/>
      <c r="I3131" s="3"/>
    </row>
    <row r="3132" spans="1:9" x14ac:dyDescent="0.3">
      <c r="A3132" s="2"/>
      <c r="H3132" s="3"/>
      <c r="I3132" s="3"/>
    </row>
    <row r="3133" spans="1:9" x14ac:dyDescent="0.3">
      <c r="A3133" s="2"/>
      <c r="H3133" s="3"/>
      <c r="I3133" s="3"/>
    </row>
    <row r="3134" spans="1:9" x14ac:dyDescent="0.3">
      <c r="A3134" s="2"/>
      <c r="H3134" s="3"/>
      <c r="I3134" s="3"/>
    </row>
    <row r="3135" spans="1:9" x14ac:dyDescent="0.3">
      <c r="A3135" s="2"/>
      <c r="H3135" s="3"/>
      <c r="I3135" s="3"/>
    </row>
    <row r="3136" spans="1:9" x14ac:dyDescent="0.3">
      <c r="A3136" s="2"/>
      <c r="H3136" s="3"/>
      <c r="I3136" s="3"/>
    </row>
    <row r="3137" spans="1:9" x14ac:dyDescent="0.3">
      <c r="A3137" s="2"/>
      <c r="H3137" s="3"/>
      <c r="I3137" s="3"/>
    </row>
    <row r="3138" spans="1:9" x14ac:dyDescent="0.3">
      <c r="A3138" s="2"/>
      <c r="H3138" s="3"/>
      <c r="I3138" s="3"/>
    </row>
    <row r="3139" spans="1:9" x14ac:dyDescent="0.3">
      <c r="A3139" s="2"/>
      <c r="H3139" s="3"/>
      <c r="I3139" s="3"/>
    </row>
    <row r="3140" spans="1:9" x14ac:dyDescent="0.3">
      <c r="A3140" s="2"/>
      <c r="H3140" s="3"/>
      <c r="I3140" s="3"/>
    </row>
    <row r="3141" spans="1:9" x14ac:dyDescent="0.3">
      <c r="A3141" s="2"/>
      <c r="H3141" s="3"/>
      <c r="I3141" s="3"/>
    </row>
    <row r="3142" spans="1:9" x14ac:dyDescent="0.3">
      <c r="A3142" s="2"/>
      <c r="H3142" s="3"/>
      <c r="I3142" s="3"/>
    </row>
    <row r="3143" spans="1:9" x14ac:dyDescent="0.3">
      <c r="A3143" s="2"/>
      <c r="H3143" s="3"/>
      <c r="I3143" s="3"/>
    </row>
    <row r="3144" spans="1:9" x14ac:dyDescent="0.3">
      <c r="A3144" s="2"/>
      <c r="H3144" s="3"/>
      <c r="I3144" s="3"/>
    </row>
    <row r="3145" spans="1:9" x14ac:dyDescent="0.3">
      <c r="A3145" s="2"/>
      <c r="H3145" s="3"/>
      <c r="I3145" s="3"/>
    </row>
    <row r="3146" spans="1:9" x14ac:dyDescent="0.3">
      <c r="A3146" s="2"/>
      <c r="H3146" s="3"/>
      <c r="I3146" s="3"/>
    </row>
    <row r="3147" spans="1:9" x14ac:dyDescent="0.3">
      <c r="A3147" s="2"/>
      <c r="H3147" s="3"/>
      <c r="I3147" s="3"/>
    </row>
    <row r="3148" spans="1:9" x14ac:dyDescent="0.3">
      <c r="A3148" s="2"/>
      <c r="H3148" s="3"/>
      <c r="I3148" s="3"/>
    </row>
    <row r="3149" spans="1:9" x14ac:dyDescent="0.3">
      <c r="A3149" s="2"/>
      <c r="H3149" s="3"/>
      <c r="I3149" s="3"/>
    </row>
    <row r="3150" spans="1:9" x14ac:dyDescent="0.3">
      <c r="A3150" s="2"/>
      <c r="H3150" s="3"/>
      <c r="I3150" s="3"/>
    </row>
    <row r="3151" spans="1:9" x14ac:dyDescent="0.3">
      <c r="A3151" s="2"/>
      <c r="H3151" s="3"/>
      <c r="I3151" s="3"/>
    </row>
    <row r="3152" spans="1:9" x14ac:dyDescent="0.3">
      <c r="A3152" s="2"/>
      <c r="H3152" s="3"/>
      <c r="I3152" s="3"/>
    </row>
    <row r="3153" spans="1:9" x14ac:dyDescent="0.3">
      <c r="A3153" s="2"/>
      <c r="H3153" s="3"/>
      <c r="I3153" s="3"/>
    </row>
    <row r="3154" spans="1:9" x14ac:dyDescent="0.3">
      <c r="A3154" s="2"/>
      <c r="H3154" s="3"/>
      <c r="I3154" s="3"/>
    </row>
    <row r="3155" spans="1:9" x14ac:dyDescent="0.3">
      <c r="A3155" s="2"/>
      <c r="H3155" s="3"/>
      <c r="I3155" s="3"/>
    </row>
    <row r="3156" spans="1:9" x14ac:dyDescent="0.3">
      <c r="A3156" s="2"/>
      <c r="H3156" s="3"/>
      <c r="I3156" s="3"/>
    </row>
    <row r="3157" spans="1:9" x14ac:dyDescent="0.3">
      <c r="A3157" s="2"/>
      <c r="H3157" s="3"/>
      <c r="I3157" s="3"/>
    </row>
    <row r="3158" spans="1:9" x14ac:dyDescent="0.3">
      <c r="A3158" s="2"/>
      <c r="H3158" s="3"/>
      <c r="I3158" s="3"/>
    </row>
    <row r="3159" spans="1:9" x14ac:dyDescent="0.3">
      <c r="A3159" s="2"/>
      <c r="H3159" s="3"/>
      <c r="I3159" s="3"/>
    </row>
    <row r="3160" spans="1:9" x14ac:dyDescent="0.3">
      <c r="A3160" s="2"/>
      <c r="H3160" s="3"/>
      <c r="I3160" s="3"/>
    </row>
    <row r="3161" spans="1:9" x14ac:dyDescent="0.3">
      <c r="A3161" s="2"/>
      <c r="H3161" s="3"/>
      <c r="I3161" s="3"/>
    </row>
    <row r="3162" spans="1:9" x14ac:dyDescent="0.3">
      <c r="A3162" s="2"/>
      <c r="H3162" s="3"/>
      <c r="I3162" s="3"/>
    </row>
    <row r="3163" spans="1:9" x14ac:dyDescent="0.3">
      <c r="A3163" s="2"/>
      <c r="H3163" s="3"/>
      <c r="I3163" s="3"/>
    </row>
    <row r="3164" spans="1:9" x14ac:dyDescent="0.3">
      <c r="A3164" s="2"/>
      <c r="H3164" s="3"/>
      <c r="I3164" s="3"/>
    </row>
    <row r="3165" spans="1:9" x14ac:dyDescent="0.3">
      <c r="A3165" s="2"/>
      <c r="H3165" s="3"/>
      <c r="I3165" s="3"/>
    </row>
    <row r="3166" spans="1:9" x14ac:dyDescent="0.3">
      <c r="A3166" s="2"/>
      <c r="H3166" s="3"/>
      <c r="I3166" s="3"/>
    </row>
    <row r="3167" spans="1:9" x14ac:dyDescent="0.3">
      <c r="A3167" s="2"/>
      <c r="H3167" s="3"/>
      <c r="I3167" s="3"/>
    </row>
    <row r="3168" spans="1:9" x14ac:dyDescent="0.3">
      <c r="A3168" s="2"/>
      <c r="H3168" s="3"/>
      <c r="I3168" s="3"/>
    </row>
    <row r="3169" spans="1:9" x14ac:dyDescent="0.3">
      <c r="A3169" s="2"/>
      <c r="H3169" s="3"/>
      <c r="I3169" s="3"/>
    </row>
    <row r="3170" spans="1:9" x14ac:dyDescent="0.3">
      <c r="A3170" s="2"/>
      <c r="H3170" s="3"/>
      <c r="I3170" s="3"/>
    </row>
    <row r="3171" spans="1:9" x14ac:dyDescent="0.3">
      <c r="A3171" s="2"/>
      <c r="H3171" s="3"/>
      <c r="I3171" s="3"/>
    </row>
    <row r="3172" spans="1:9" x14ac:dyDescent="0.3">
      <c r="A3172" s="2"/>
      <c r="H3172" s="3"/>
      <c r="I3172" s="3"/>
    </row>
    <row r="3173" spans="1:9" x14ac:dyDescent="0.3">
      <c r="A3173" s="2"/>
      <c r="H3173" s="3"/>
      <c r="I3173" s="3"/>
    </row>
    <row r="3174" spans="1:9" x14ac:dyDescent="0.3">
      <c r="A3174" s="2"/>
      <c r="H3174" s="3"/>
      <c r="I3174" s="3"/>
    </row>
    <row r="3175" spans="1:9" x14ac:dyDescent="0.3">
      <c r="A3175" s="2"/>
      <c r="H3175" s="3"/>
      <c r="I3175" s="3"/>
    </row>
    <row r="3176" spans="1:9" x14ac:dyDescent="0.3">
      <c r="A3176" s="2"/>
      <c r="H3176" s="3"/>
      <c r="I3176" s="3"/>
    </row>
    <row r="3177" spans="1:9" x14ac:dyDescent="0.3">
      <c r="A3177" s="2"/>
      <c r="H3177" s="3"/>
      <c r="I3177" s="3"/>
    </row>
    <row r="3178" spans="1:9" x14ac:dyDescent="0.3">
      <c r="A3178" s="2"/>
      <c r="H3178" s="3"/>
      <c r="I3178" s="3"/>
    </row>
    <row r="3179" spans="1:9" x14ac:dyDescent="0.3">
      <c r="A3179" s="2"/>
      <c r="H3179" s="3"/>
      <c r="I3179" s="3"/>
    </row>
    <row r="3180" spans="1:9" x14ac:dyDescent="0.3">
      <c r="A3180" s="2"/>
      <c r="H3180" s="3"/>
      <c r="I3180" s="3"/>
    </row>
    <row r="3181" spans="1:9" x14ac:dyDescent="0.3">
      <c r="A3181" s="2"/>
      <c r="H3181" s="3"/>
      <c r="I3181" s="3"/>
    </row>
    <row r="3182" spans="1:9" x14ac:dyDescent="0.3">
      <c r="A3182" s="2"/>
      <c r="H3182" s="3"/>
      <c r="I3182" s="3"/>
    </row>
    <row r="3183" spans="1:9" x14ac:dyDescent="0.3">
      <c r="A3183" s="2"/>
      <c r="H3183" s="3"/>
      <c r="I3183" s="3"/>
    </row>
    <row r="3184" spans="1:9" x14ac:dyDescent="0.3">
      <c r="A3184" s="2"/>
      <c r="H3184" s="3"/>
      <c r="I3184" s="3"/>
    </row>
    <row r="3185" spans="1:9" x14ac:dyDescent="0.3">
      <c r="A3185" s="2"/>
      <c r="H3185" s="3"/>
      <c r="I3185" s="3"/>
    </row>
    <row r="3186" spans="1:9" x14ac:dyDescent="0.3">
      <c r="A3186" s="2"/>
      <c r="H3186" s="3"/>
      <c r="I3186" s="3"/>
    </row>
    <row r="3187" spans="1:9" x14ac:dyDescent="0.3">
      <c r="A3187" s="2"/>
      <c r="H3187" s="3"/>
      <c r="I3187" s="3"/>
    </row>
    <row r="3188" spans="1:9" x14ac:dyDescent="0.3">
      <c r="A3188" s="2"/>
      <c r="H3188" s="3"/>
      <c r="I3188" s="3"/>
    </row>
    <row r="3189" spans="1:9" x14ac:dyDescent="0.3">
      <c r="A3189" s="2"/>
      <c r="H3189" s="3"/>
      <c r="I3189" s="3"/>
    </row>
    <row r="3190" spans="1:9" x14ac:dyDescent="0.3">
      <c r="A3190" s="2"/>
      <c r="H3190" s="3"/>
      <c r="I3190" s="3"/>
    </row>
    <row r="3191" spans="1:9" x14ac:dyDescent="0.3">
      <c r="A3191" s="2"/>
      <c r="H3191" s="3"/>
      <c r="I3191" s="3"/>
    </row>
    <row r="3192" spans="1:9" x14ac:dyDescent="0.3">
      <c r="A3192" s="2"/>
      <c r="H3192" s="3"/>
      <c r="I3192" s="3"/>
    </row>
    <row r="3193" spans="1:9" x14ac:dyDescent="0.3">
      <c r="A3193" s="2"/>
      <c r="H3193" s="3"/>
      <c r="I3193" s="3"/>
    </row>
    <row r="3194" spans="1:9" x14ac:dyDescent="0.3">
      <c r="A3194" s="2"/>
      <c r="H3194" s="3"/>
      <c r="I3194" s="3"/>
    </row>
    <row r="3195" spans="1:9" x14ac:dyDescent="0.3">
      <c r="A3195" s="2"/>
      <c r="H3195" s="3"/>
      <c r="I3195" s="3"/>
    </row>
    <row r="3196" spans="1:9" x14ac:dyDescent="0.3">
      <c r="A3196" s="2"/>
      <c r="H3196" s="3"/>
      <c r="I3196" s="3"/>
    </row>
    <row r="3197" spans="1:9" x14ac:dyDescent="0.3">
      <c r="A3197" s="2"/>
      <c r="H3197" s="3"/>
      <c r="I3197" s="3"/>
    </row>
    <row r="3198" spans="1:9" x14ac:dyDescent="0.3">
      <c r="A3198" s="2"/>
      <c r="H3198" s="3"/>
      <c r="I3198" s="3"/>
    </row>
    <row r="3199" spans="1:9" x14ac:dyDescent="0.3">
      <c r="A3199" s="2"/>
      <c r="H3199" s="3"/>
      <c r="I3199" s="3"/>
    </row>
    <row r="3200" spans="1:9" x14ac:dyDescent="0.3">
      <c r="A3200" s="2"/>
      <c r="H3200" s="3"/>
      <c r="I3200" s="3"/>
    </row>
    <row r="3201" spans="1:9" x14ac:dyDescent="0.3">
      <c r="A3201" s="2"/>
      <c r="H3201" s="3"/>
      <c r="I3201" s="3"/>
    </row>
    <row r="3202" spans="1:9" x14ac:dyDescent="0.3">
      <c r="A3202" s="2"/>
      <c r="H3202" s="3"/>
      <c r="I3202" s="3"/>
    </row>
    <row r="3203" spans="1:9" x14ac:dyDescent="0.3">
      <c r="A3203" s="2"/>
      <c r="H3203" s="3"/>
      <c r="I3203" s="3"/>
    </row>
    <row r="3204" spans="1:9" x14ac:dyDescent="0.3">
      <c r="A3204" s="2"/>
      <c r="H3204" s="3"/>
      <c r="I3204" s="3"/>
    </row>
    <row r="3205" spans="1:9" x14ac:dyDescent="0.3">
      <c r="A3205" s="2"/>
      <c r="H3205" s="3"/>
      <c r="I3205" s="3"/>
    </row>
    <row r="3206" spans="1:9" x14ac:dyDescent="0.3">
      <c r="A3206" s="2"/>
      <c r="H3206" s="3"/>
      <c r="I3206" s="3"/>
    </row>
    <row r="3207" spans="1:9" x14ac:dyDescent="0.3">
      <c r="A3207" s="2"/>
      <c r="H3207" s="3"/>
      <c r="I3207" s="3"/>
    </row>
    <row r="3208" spans="1:9" x14ac:dyDescent="0.3">
      <c r="A3208" s="2"/>
      <c r="H3208" s="3"/>
      <c r="I3208" s="3"/>
    </row>
    <row r="3209" spans="1:9" x14ac:dyDescent="0.3">
      <c r="A3209" s="2"/>
      <c r="H3209" s="3"/>
      <c r="I3209" s="3"/>
    </row>
    <row r="3210" spans="1:9" x14ac:dyDescent="0.3">
      <c r="A3210" s="2"/>
      <c r="H3210" s="3"/>
      <c r="I3210" s="3"/>
    </row>
    <row r="3211" spans="1:9" x14ac:dyDescent="0.3">
      <c r="A3211" s="2"/>
      <c r="H3211" s="3"/>
      <c r="I3211" s="3"/>
    </row>
    <row r="3212" spans="1:9" x14ac:dyDescent="0.3">
      <c r="A3212" s="2"/>
      <c r="H3212" s="3"/>
      <c r="I3212" s="3"/>
    </row>
    <row r="3213" spans="1:9" x14ac:dyDescent="0.3">
      <c r="A3213" s="2"/>
      <c r="H3213" s="3"/>
      <c r="I3213" s="3"/>
    </row>
    <row r="3214" spans="1:9" x14ac:dyDescent="0.3">
      <c r="A3214" s="2"/>
      <c r="H3214" s="3"/>
      <c r="I3214" s="3"/>
    </row>
    <row r="3215" spans="1:9" x14ac:dyDescent="0.3">
      <c r="A3215" s="2"/>
      <c r="H3215" s="3"/>
      <c r="I3215" s="3"/>
    </row>
    <row r="3216" spans="1:9" x14ac:dyDescent="0.3">
      <c r="A3216" s="2"/>
      <c r="H3216" s="3"/>
      <c r="I3216" s="3"/>
    </row>
    <row r="3217" spans="1:9" x14ac:dyDescent="0.3">
      <c r="A3217" s="2"/>
      <c r="H3217" s="3"/>
      <c r="I3217" s="3"/>
    </row>
    <row r="3218" spans="1:9" x14ac:dyDescent="0.3">
      <c r="A3218" s="2"/>
      <c r="H3218" s="3"/>
      <c r="I3218" s="3"/>
    </row>
    <row r="3219" spans="1:9" x14ac:dyDescent="0.3">
      <c r="A3219" s="2"/>
      <c r="H3219" s="3"/>
      <c r="I3219" s="3"/>
    </row>
    <row r="3220" spans="1:9" x14ac:dyDescent="0.3">
      <c r="A3220" s="2"/>
      <c r="H3220" s="3"/>
      <c r="I3220" s="3"/>
    </row>
    <row r="3221" spans="1:9" x14ac:dyDescent="0.3">
      <c r="A3221" s="2"/>
      <c r="H3221" s="3"/>
      <c r="I3221" s="3"/>
    </row>
    <row r="3222" spans="1:9" x14ac:dyDescent="0.3">
      <c r="A3222" s="2"/>
      <c r="H3222" s="3"/>
      <c r="I3222" s="3"/>
    </row>
    <row r="3223" spans="1:9" x14ac:dyDescent="0.3">
      <c r="A3223" s="2"/>
      <c r="H3223" s="3"/>
      <c r="I3223" s="3"/>
    </row>
    <row r="3224" spans="1:9" x14ac:dyDescent="0.3">
      <c r="A3224" s="2"/>
      <c r="H3224" s="3"/>
      <c r="I3224" s="3"/>
    </row>
    <row r="3225" spans="1:9" x14ac:dyDescent="0.3">
      <c r="A3225" s="2"/>
      <c r="H3225" s="3"/>
      <c r="I3225" s="3"/>
    </row>
    <row r="3226" spans="1:9" x14ac:dyDescent="0.3">
      <c r="A3226" s="2"/>
      <c r="H3226" s="3"/>
      <c r="I3226" s="3"/>
    </row>
    <row r="3227" spans="1:9" x14ac:dyDescent="0.3">
      <c r="A3227" s="2"/>
      <c r="H3227" s="3"/>
      <c r="I3227" s="3"/>
    </row>
    <row r="3228" spans="1:9" x14ac:dyDescent="0.3">
      <c r="A3228" s="2"/>
      <c r="H3228" s="3"/>
      <c r="I3228" s="3"/>
    </row>
    <row r="3229" spans="1:9" x14ac:dyDescent="0.3">
      <c r="A3229" s="2"/>
      <c r="H3229" s="3"/>
      <c r="I3229" s="3"/>
    </row>
    <row r="3230" spans="1:9" x14ac:dyDescent="0.3">
      <c r="A3230" s="2"/>
      <c r="H3230" s="3"/>
      <c r="I3230" s="3"/>
    </row>
    <row r="3231" spans="1:9" x14ac:dyDescent="0.3">
      <c r="A3231" s="2"/>
      <c r="H3231" s="3"/>
      <c r="I3231" s="3"/>
    </row>
    <row r="3232" spans="1:9" x14ac:dyDescent="0.3">
      <c r="A3232" s="2"/>
      <c r="H3232" s="3"/>
      <c r="I3232" s="3"/>
    </row>
    <row r="3233" spans="1:9" x14ac:dyDescent="0.3">
      <c r="A3233" s="2"/>
      <c r="H3233" s="3"/>
      <c r="I3233" s="3"/>
    </row>
    <row r="3234" spans="1:9" x14ac:dyDescent="0.3">
      <c r="A3234" s="2"/>
      <c r="H3234" s="3"/>
      <c r="I3234" s="3"/>
    </row>
    <row r="3235" spans="1:9" x14ac:dyDescent="0.3">
      <c r="A3235" s="2"/>
      <c r="H3235" s="3"/>
      <c r="I3235" s="3"/>
    </row>
    <row r="3236" spans="1:9" x14ac:dyDescent="0.3">
      <c r="A3236" s="2"/>
      <c r="H3236" s="3"/>
      <c r="I3236" s="3"/>
    </row>
    <row r="3237" spans="1:9" x14ac:dyDescent="0.3">
      <c r="A3237" s="2"/>
      <c r="H3237" s="3"/>
      <c r="I3237" s="3"/>
    </row>
    <row r="3238" spans="1:9" x14ac:dyDescent="0.3">
      <c r="A3238" s="2"/>
      <c r="H3238" s="3"/>
      <c r="I3238" s="3"/>
    </row>
    <row r="3239" spans="1:9" x14ac:dyDescent="0.3">
      <c r="A3239" s="2"/>
      <c r="H3239" s="3"/>
      <c r="I3239" s="3"/>
    </row>
    <row r="3240" spans="1:9" x14ac:dyDescent="0.3">
      <c r="A3240" s="2"/>
      <c r="H3240" s="3"/>
      <c r="I3240" s="3"/>
    </row>
    <row r="3241" spans="1:9" x14ac:dyDescent="0.3">
      <c r="A3241" s="2"/>
      <c r="H3241" s="3"/>
      <c r="I3241" s="3"/>
    </row>
    <row r="3242" spans="1:9" x14ac:dyDescent="0.3">
      <c r="A3242" s="2"/>
      <c r="H3242" s="3"/>
      <c r="I3242" s="3"/>
    </row>
    <row r="3243" spans="1:9" x14ac:dyDescent="0.3">
      <c r="A3243" s="2"/>
      <c r="H3243" s="3"/>
      <c r="I3243" s="3"/>
    </row>
    <row r="3244" spans="1:9" x14ac:dyDescent="0.3">
      <c r="A3244" s="2"/>
      <c r="H3244" s="3"/>
      <c r="I3244" s="3"/>
    </row>
    <row r="3245" spans="1:9" x14ac:dyDescent="0.3">
      <c r="A3245" s="2"/>
      <c r="H3245" s="3"/>
      <c r="I3245" s="3"/>
    </row>
    <row r="3246" spans="1:9" x14ac:dyDescent="0.3">
      <c r="A3246" s="2"/>
      <c r="H3246" s="3"/>
      <c r="I3246" s="3"/>
    </row>
    <row r="3247" spans="1:9" x14ac:dyDescent="0.3">
      <c r="A3247" s="2"/>
      <c r="H3247" s="3"/>
      <c r="I3247" s="3"/>
    </row>
    <row r="3248" spans="1:9" x14ac:dyDescent="0.3">
      <c r="A3248" s="2"/>
      <c r="H3248" s="3"/>
      <c r="I3248" s="3"/>
    </row>
    <row r="3249" spans="1:9" x14ac:dyDescent="0.3">
      <c r="A3249" s="2"/>
      <c r="H3249" s="3"/>
      <c r="I3249" s="3"/>
    </row>
    <row r="3250" spans="1:9" x14ac:dyDescent="0.3">
      <c r="A3250" s="2"/>
      <c r="H3250" s="3"/>
      <c r="I3250" s="3"/>
    </row>
    <row r="3251" spans="1:9" x14ac:dyDescent="0.3">
      <c r="A3251" s="2"/>
      <c r="H3251" s="3"/>
      <c r="I3251" s="3"/>
    </row>
    <row r="3252" spans="1:9" x14ac:dyDescent="0.3">
      <c r="A3252" s="2"/>
      <c r="H3252" s="3"/>
      <c r="I3252" s="3"/>
    </row>
    <row r="3253" spans="1:9" x14ac:dyDescent="0.3">
      <c r="A3253" s="2"/>
      <c r="H3253" s="3"/>
      <c r="I3253" s="3"/>
    </row>
    <row r="3254" spans="1:9" x14ac:dyDescent="0.3">
      <c r="A3254" s="2"/>
      <c r="H3254" s="3"/>
      <c r="I3254" s="3"/>
    </row>
    <row r="3255" spans="1:9" x14ac:dyDescent="0.3">
      <c r="A3255" s="2"/>
      <c r="H3255" s="3"/>
      <c r="I3255" s="3"/>
    </row>
    <row r="3256" spans="1:9" x14ac:dyDescent="0.3">
      <c r="A3256" s="2"/>
      <c r="H3256" s="3"/>
      <c r="I3256" s="3"/>
    </row>
    <row r="3257" spans="1:9" x14ac:dyDescent="0.3">
      <c r="A3257" s="2"/>
      <c r="H3257" s="3"/>
      <c r="I3257" s="3"/>
    </row>
    <row r="3258" spans="1:9" x14ac:dyDescent="0.3">
      <c r="A3258" s="2"/>
      <c r="H3258" s="3"/>
      <c r="I3258" s="3"/>
    </row>
    <row r="3259" spans="1:9" x14ac:dyDescent="0.3">
      <c r="A3259" s="2"/>
      <c r="H3259" s="3"/>
      <c r="I3259" s="3"/>
    </row>
    <row r="3260" spans="1:9" x14ac:dyDescent="0.3">
      <c r="A3260" s="2"/>
      <c r="H3260" s="3"/>
      <c r="I3260" s="3"/>
    </row>
    <row r="3261" spans="1:9" x14ac:dyDescent="0.3">
      <c r="A3261" s="2"/>
      <c r="H3261" s="3"/>
      <c r="I3261" s="3"/>
    </row>
    <row r="3262" spans="1:9" x14ac:dyDescent="0.3">
      <c r="A3262" s="2"/>
      <c r="H3262" s="3"/>
      <c r="I3262" s="3"/>
    </row>
    <row r="3263" spans="1:9" x14ac:dyDescent="0.3">
      <c r="A3263" s="2"/>
      <c r="H3263" s="3"/>
      <c r="I3263" s="3"/>
    </row>
    <row r="3264" spans="1:9" x14ac:dyDescent="0.3">
      <c r="A3264" s="2"/>
      <c r="H3264" s="3"/>
      <c r="I3264" s="3"/>
    </row>
    <row r="3265" spans="1:9" x14ac:dyDescent="0.3">
      <c r="A3265" s="2"/>
      <c r="H3265" s="3"/>
      <c r="I3265" s="3"/>
    </row>
    <row r="3266" spans="1:9" x14ac:dyDescent="0.3">
      <c r="A3266" s="2"/>
      <c r="H3266" s="3"/>
      <c r="I3266" s="3"/>
    </row>
    <row r="3267" spans="1:9" x14ac:dyDescent="0.3">
      <c r="A3267" s="2"/>
      <c r="H3267" s="3"/>
      <c r="I3267" s="3"/>
    </row>
    <row r="3268" spans="1:9" x14ac:dyDescent="0.3">
      <c r="A3268" s="2"/>
      <c r="H3268" s="3"/>
      <c r="I3268" s="3"/>
    </row>
    <row r="3269" spans="1:9" x14ac:dyDescent="0.3">
      <c r="A3269" s="2"/>
      <c r="H3269" s="3"/>
      <c r="I3269" s="3"/>
    </row>
    <row r="3270" spans="1:9" x14ac:dyDescent="0.3">
      <c r="A3270" s="2"/>
      <c r="H3270" s="3"/>
      <c r="I3270" s="3"/>
    </row>
    <row r="3271" spans="1:9" x14ac:dyDescent="0.3">
      <c r="A3271" s="2"/>
      <c r="H3271" s="3"/>
      <c r="I3271" s="3"/>
    </row>
    <row r="3272" spans="1:9" x14ac:dyDescent="0.3">
      <c r="A3272" s="2"/>
      <c r="H3272" s="3"/>
      <c r="I3272" s="3"/>
    </row>
    <row r="3273" spans="1:9" x14ac:dyDescent="0.3">
      <c r="A3273" s="2"/>
      <c r="H3273" s="3"/>
      <c r="I3273" s="3"/>
    </row>
    <row r="3274" spans="1:9" x14ac:dyDescent="0.3">
      <c r="A3274" s="2"/>
      <c r="H3274" s="3"/>
      <c r="I3274" s="3"/>
    </row>
    <row r="3275" spans="1:9" x14ac:dyDescent="0.3">
      <c r="A3275" s="2"/>
      <c r="H3275" s="3"/>
      <c r="I3275" s="3"/>
    </row>
    <row r="3276" spans="1:9" x14ac:dyDescent="0.3">
      <c r="A3276" s="2"/>
      <c r="H3276" s="3"/>
      <c r="I3276" s="3"/>
    </row>
    <row r="3277" spans="1:9" x14ac:dyDescent="0.3">
      <c r="A3277" s="2"/>
      <c r="H3277" s="3"/>
      <c r="I3277" s="3"/>
    </row>
    <row r="3278" spans="1:9" x14ac:dyDescent="0.3">
      <c r="A3278" s="2"/>
      <c r="H3278" s="3"/>
      <c r="I3278" s="3"/>
    </row>
    <row r="3279" spans="1:9" x14ac:dyDescent="0.3">
      <c r="A3279" s="2"/>
      <c r="H3279" s="3"/>
      <c r="I3279" s="3"/>
    </row>
    <row r="3280" spans="1:9" x14ac:dyDescent="0.3">
      <c r="A3280" s="2"/>
      <c r="H3280" s="3"/>
      <c r="I3280" s="3"/>
    </row>
    <row r="3281" spans="1:9" x14ac:dyDescent="0.3">
      <c r="A3281" s="2"/>
      <c r="H3281" s="3"/>
      <c r="I3281" s="3"/>
    </row>
    <row r="3282" spans="1:9" x14ac:dyDescent="0.3">
      <c r="A3282" s="2"/>
      <c r="H3282" s="3"/>
      <c r="I3282" s="3"/>
    </row>
    <row r="3283" spans="1:9" x14ac:dyDescent="0.3">
      <c r="A3283" s="2"/>
      <c r="H3283" s="3"/>
      <c r="I3283" s="3"/>
    </row>
    <row r="3284" spans="1:9" x14ac:dyDescent="0.3">
      <c r="A3284" s="2"/>
      <c r="H3284" s="3"/>
      <c r="I3284" s="3"/>
    </row>
    <row r="3285" spans="1:9" x14ac:dyDescent="0.3">
      <c r="A3285" s="2"/>
      <c r="H3285" s="3"/>
      <c r="I3285" s="3"/>
    </row>
    <row r="3286" spans="1:9" x14ac:dyDescent="0.3">
      <c r="A3286" s="2"/>
      <c r="H3286" s="3"/>
      <c r="I3286" s="3"/>
    </row>
    <row r="3287" spans="1:9" x14ac:dyDescent="0.3">
      <c r="A3287" s="2"/>
      <c r="H3287" s="3"/>
      <c r="I3287" s="3"/>
    </row>
    <row r="3288" spans="1:9" x14ac:dyDescent="0.3">
      <c r="A3288" s="2"/>
      <c r="H3288" s="3"/>
      <c r="I3288" s="3"/>
    </row>
    <row r="3289" spans="1:9" x14ac:dyDescent="0.3">
      <c r="A3289" s="2"/>
      <c r="H3289" s="3"/>
      <c r="I3289" s="3"/>
    </row>
    <row r="3290" spans="1:9" x14ac:dyDescent="0.3">
      <c r="A3290" s="2"/>
      <c r="H3290" s="3"/>
      <c r="I3290" s="3"/>
    </row>
    <row r="3291" spans="1:9" x14ac:dyDescent="0.3">
      <c r="A3291" s="2"/>
      <c r="H3291" s="3"/>
      <c r="I3291" s="3"/>
    </row>
    <row r="3292" spans="1:9" x14ac:dyDescent="0.3">
      <c r="A3292" s="2"/>
      <c r="H3292" s="3"/>
      <c r="I3292" s="3"/>
    </row>
    <row r="3293" spans="1:9" x14ac:dyDescent="0.3">
      <c r="A3293" s="2"/>
      <c r="H3293" s="3"/>
      <c r="I3293" s="3"/>
    </row>
    <row r="3294" spans="1:9" x14ac:dyDescent="0.3">
      <c r="A3294" s="2"/>
      <c r="H3294" s="3"/>
      <c r="I3294" s="3"/>
    </row>
    <row r="3295" spans="1:9" x14ac:dyDescent="0.3">
      <c r="A3295" s="2"/>
      <c r="H3295" s="3"/>
      <c r="I3295" s="3"/>
    </row>
    <row r="3296" spans="1:9" x14ac:dyDescent="0.3">
      <c r="A3296" s="2"/>
      <c r="H3296" s="3"/>
      <c r="I3296" s="3"/>
    </row>
    <row r="3297" spans="1:9" x14ac:dyDescent="0.3">
      <c r="A3297" s="2"/>
      <c r="H3297" s="3"/>
      <c r="I3297" s="3"/>
    </row>
    <row r="3298" spans="1:9" x14ac:dyDescent="0.3">
      <c r="A3298" s="2"/>
      <c r="H3298" s="3"/>
      <c r="I3298" s="3"/>
    </row>
    <row r="3299" spans="1:9" x14ac:dyDescent="0.3">
      <c r="A3299" s="2"/>
      <c r="H3299" s="3"/>
      <c r="I3299" s="3"/>
    </row>
    <row r="3300" spans="1:9" x14ac:dyDescent="0.3">
      <c r="A3300" s="2"/>
      <c r="H3300" s="3"/>
      <c r="I3300" s="3"/>
    </row>
    <row r="3301" spans="1:9" x14ac:dyDescent="0.3">
      <c r="A3301" s="2"/>
      <c r="H3301" s="3"/>
      <c r="I3301" s="3"/>
    </row>
    <row r="3302" spans="1:9" x14ac:dyDescent="0.3">
      <c r="A3302" s="2"/>
      <c r="H3302" s="3"/>
      <c r="I3302" s="3"/>
    </row>
    <row r="3303" spans="1:9" x14ac:dyDescent="0.3">
      <c r="A3303" s="2"/>
      <c r="H3303" s="3"/>
      <c r="I3303" s="3"/>
    </row>
    <row r="3304" spans="1:9" x14ac:dyDescent="0.3">
      <c r="A3304" s="2"/>
      <c r="H3304" s="3"/>
      <c r="I3304" s="3"/>
    </row>
    <row r="3305" spans="1:9" x14ac:dyDescent="0.3">
      <c r="A3305" s="2"/>
      <c r="H3305" s="3"/>
      <c r="I3305" s="3"/>
    </row>
    <row r="3306" spans="1:9" x14ac:dyDescent="0.3">
      <c r="A3306" s="2"/>
      <c r="H3306" s="3"/>
      <c r="I3306" s="3"/>
    </row>
    <row r="3307" spans="1:9" x14ac:dyDescent="0.3">
      <c r="A3307" s="2"/>
      <c r="H3307" s="3"/>
      <c r="I3307" s="3"/>
    </row>
    <row r="3308" spans="1:9" x14ac:dyDescent="0.3">
      <c r="A3308" s="2"/>
      <c r="H3308" s="3"/>
      <c r="I3308" s="3"/>
    </row>
    <row r="3309" spans="1:9" x14ac:dyDescent="0.3">
      <c r="A3309" s="2"/>
      <c r="H3309" s="3"/>
      <c r="I3309" s="3"/>
    </row>
    <row r="3310" spans="1:9" x14ac:dyDescent="0.3">
      <c r="A3310" s="2"/>
      <c r="H3310" s="3"/>
      <c r="I3310" s="3"/>
    </row>
    <row r="3311" spans="1:9" x14ac:dyDescent="0.3">
      <c r="A3311" s="2"/>
      <c r="H3311" s="3"/>
      <c r="I3311" s="3"/>
    </row>
    <row r="3312" spans="1:9" x14ac:dyDescent="0.3">
      <c r="A3312" s="2"/>
      <c r="H3312" s="3"/>
      <c r="I3312" s="3"/>
    </row>
    <row r="3313" spans="1:9" x14ac:dyDescent="0.3">
      <c r="A3313" s="2"/>
      <c r="H3313" s="3"/>
      <c r="I3313" s="3"/>
    </row>
    <row r="3314" spans="1:9" x14ac:dyDescent="0.3">
      <c r="A3314" s="2"/>
      <c r="H3314" s="3"/>
      <c r="I3314" s="3"/>
    </row>
    <row r="3315" spans="1:9" x14ac:dyDescent="0.3">
      <c r="A3315" s="2"/>
      <c r="H3315" s="3"/>
      <c r="I3315" s="3"/>
    </row>
    <row r="3316" spans="1:9" x14ac:dyDescent="0.3">
      <c r="A3316" s="2"/>
      <c r="H3316" s="3"/>
      <c r="I3316" s="3"/>
    </row>
    <row r="3317" spans="1:9" x14ac:dyDescent="0.3">
      <c r="A3317" s="2"/>
      <c r="H3317" s="3"/>
      <c r="I3317" s="3"/>
    </row>
    <row r="3318" spans="1:9" x14ac:dyDescent="0.3">
      <c r="A3318" s="2"/>
      <c r="H3318" s="3"/>
      <c r="I3318" s="3"/>
    </row>
    <row r="3319" spans="1:9" x14ac:dyDescent="0.3">
      <c r="A3319" s="2"/>
      <c r="H3319" s="3"/>
      <c r="I3319" s="3"/>
    </row>
    <row r="3320" spans="1:9" x14ac:dyDescent="0.3">
      <c r="A3320" s="2"/>
      <c r="H3320" s="3"/>
      <c r="I3320" s="3"/>
    </row>
    <row r="3321" spans="1:9" x14ac:dyDescent="0.3">
      <c r="A3321" s="2"/>
      <c r="H3321" s="3"/>
      <c r="I3321" s="3"/>
    </row>
    <row r="3322" spans="1:9" x14ac:dyDescent="0.3">
      <c r="A3322" s="2"/>
      <c r="H3322" s="3"/>
      <c r="I3322" s="3"/>
    </row>
    <row r="3323" spans="1:9" x14ac:dyDescent="0.3">
      <c r="A3323" s="2"/>
      <c r="H3323" s="3"/>
      <c r="I3323" s="3"/>
    </row>
    <row r="3324" spans="1:9" x14ac:dyDescent="0.3">
      <c r="A3324" s="2"/>
      <c r="H3324" s="3"/>
      <c r="I3324" s="3"/>
    </row>
    <row r="3325" spans="1:9" x14ac:dyDescent="0.3">
      <c r="A3325" s="2"/>
      <c r="H3325" s="3"/>
      <c r="I3325" s="3"/>
    </row>
    <row r="3326" spans="1:9" x14ac:dyDescent="0.3">
      <c r="A3326" s="2"/>
      <c r="H3326" s="3"/>
      <c r="I3326" s="3"/>
    </row>
    <row r="3327" spans="1:9" x14ac:dyDescent="0.3">
      <c r="A3327" s="2"/>
      <c r="H3327" s="3"/>
      <c r="I3327" s="3"/>
    </row>
    <row r="3328" spans="1:9" x14ac:dyDescent="0.3">
      <c r="A3328" s="2"/>
      <c r="H3328" s="3"/>
      <c r="I3328" s="3"/>
    </row>
    <row r="3329" spans="1:9" x14ac:dyDescent="0.3">
      <c r="A3329" s="2"/>
      <c r="H3329" s="3"/>
      <c r="I3329" s="3"/>
    </row>
    <row r="3330" spans="1:9" x14ac:dyDescent="0.3">
      <c r="A3330" s="2"/>
      <c r="H3330" s="3"/>
      <c r="I3330" s="3"/>
    </row>
    <row r="3331" spans="1:9" x14ac:dyDescent="0.3">
      <c r="A3331" s="2"/>
      <c r="H3331" s="3"/>
      <c r="I3331" s="3"/>
    </row>
    <row r="3332" spans="1:9" x14ac:dyDescent="0.3">
      <c r="A3332" s="2"/>
      <c r="H3332" s="3"/>
      <c r="I3332" s="3"/>
    </row>
    <row r="3333" spans="1:9" x14ac:dyDescent="0.3">
      <c r="A3333" s="2"/>
      <c r="H3333" s="3"/>
      <c r="I3333" s="3"/>
    </row>
    <row r="3334" spans="1:9" x14ac:dyDescent="0.3">
      <c r="A3334" s="2"/>
      <c r="H3334" s="3"/>
      <c r="I3334" s="3"/>
    </row>
    <row r="3335" spans="1:9" x14ac:dyDescent="0.3">
      <c r="A3335" s="2"/>
      <c r="H3335" s="3"/>
      <c r="I3335" s="3"/>
    </row>
    <row r="3336" spans="1:9" x14ac:dyDescent="0.3">
      <c r="A3336" s="2"/>
      <c r="H3336" s="3"/>
      <c r="I3336" s="3"/>
    </row>
    <row r="3337" spans="1:9" x14ac:dyDescent="0.3">
      <c r="A3337" s="2"/>
      <c r="H3337" s="3"/>
      <c r="I3337" s="3"/>
    </row>
    <row r="3338" spans="1:9" x14ac:dyDescent="0.3">
      <c r="A3338" s="2"/>
      <c r="H3338" s="3"/>
      <c r="I3338" s="3"/>
    </row>
    <row r="3339" spans="1:9" x14ac:dyDescent="0.3">
      <c r="A3339" s="2"/>
      <c r="H3339" s="3"/>
      <c r="I3339" s="3"/>
    </row>
    <row r="3340" spans="1:9" x14ac:dyDescent="0.3">
      <c r="A3340" s="2"/>
      <c r="H3340" s="3"/>
      <c r="I3340" s="3"/>
    </row>
    <row r="3341" spans="1:9" x14ac:dyDescent="0.3">
      <c r="A3341" s="2"/>
      <c r="H3341" s="3"/>
      <c r="I3341" s="3"/>
    </row>
    <row r="3342" spans="1:9" x14ac:dyDescent="0.3">
      <c r="A3342" s="2"/>
      <c r="H3342" s="3"/>
      <c r="I3342" s="3"/>
    </row>
    <row r="3343" spans="1:9" x14ac:dyDescent="0.3">
      <c r="A3343" s="2"/>
      <c r="H3343" s="3"/>
      <c r="I3343" s="3"/>
    </row>
    <row r="3344" spans="1:9" x14ac:dyDescent="0.3">
      <c r="A3344" s="2"/>
      <c r="H3344" s="3"/>
      <c r="I3344" s="3"/>
    </row>
    <row r="3345" spans="1:9" x14ac:dyDescent="0.3">
      <c r="A3345" s="2"/>
      <c r="H3345" s="3"/>
      <c r="I3345" s="3"/>
    </row>
    <row r="3346" spans="1:9" x14ac:dyDescent="0.3">
      <c r="A3346" s="2"/>
      <c r="H3346" s="3"/>
      <c r="I3346" s="3"/>
    </row>
    <row r="3347" spans="1:9" x14ac:dyDescent="0.3">
      <c r="A3347" s="2"/>
      <c r="H3347" s="3"/>
      <c r="I3347" s="3"/>
    </row>
    <row r="3348" spans="1:9" x14ac:dyDescent="0.3">
      <c r="A3348" s="2"/>
      <c r="H3348" s="3"/>
      <c r="I3348" s="3"/>
    </row>
    <row r="3349" spans="1:9" x14ac:dyDescent="0.3">
      <c r="A3349" s="2"/>
      <c r="H3349" s="3"/>
      <c r="I3349" s="3"/>
    </row>
    <row r="3350" spans="1:9" x14ac:dyDescent="0.3">
      <c r="A3350" s="2"/>
      <c r="H3350" s="3"/>
      <c r="I3350" s="3"/>
    </row>
    <row r="3351" spans="1:9" x14ac:dyDescent="0.3">
      <c r="A3351" s="2"/>
      <c r="H3351" s="3"/>
      <c r="I3351" s="3"/>
    </row>
    <row r="3352" spans="1:9" x14ac:dyDescent="0.3">
      <c r="A3352" s="2"/>
      <c r="H3352" s="3"/>
      <c r="I3352" s="3"/>
    </row>
    <row r="3353" spans="1:9" x14ac:dyDescent="0.3">
      <c r="A3353" s="2"/>
      <c r="H3353" s="3"/>
      <c r="I3353" s="3"/>
    </row>
    <row r="3354" spans="1:9" x14ac:dyDescent="0.3">
      <c r="A3354" s="2"/>
      <c r="H3354" s="3"/>
      <c r="I3354" s="3"/>
    </row>
    <row r="3355" spans="1:9" x14ac:dyDescent="0.3">
      <c r="A3355" s="2"/>
      <c r="H3355" s="3"/>
      <c r="I3355" s="3"/>
    </row>
    <row r="3356" spans="1:9" x14ac:dyDescent="0.3">
      <c r="A3356" s="2"/>
      <c r="H3356" s="3"/>
      <c r="I3356" s="3"/>
    </row>
    <row r="3357" spans="1:9" x14ac:dyDescent="0.3">
      <c r="A3357" s="2"/>
      <c r="H3357" s="3"/>
      <c r="I3357" s="3"/>
    </row>
    <row r="3358" spans="1:9" x14ac:dyDescent="0.3">
      <c r="A3358" s="2"/>
      <c r="H3358" s="3"/>
      <c r="I3358" s="3"/>
    </row>
    <row r="3359" spans="1:9" x14ac:dyDescent="0.3">
      <c r="A3359" s="2"/>
      <c r="H3359" s="3"/>
      <c r="I3359" s="3"/>
    </row>
    <row r="3360" spans="1:9" x14ac:dyDescent="0.3">
      <c r="A3360" s="2"/>
      <c r="H3360" s="3"/>
      <c r="I3360" s="3"/>
    </row>
    <row r="3361" spans="1:9" x14ac:dyDescent="0.3">
      <c r="A3361" s="2"/>
      <c r="H3361" s="3"/>
      <c r="I3361" s="3"/>
    </row>
    <row r="3362" spans="1:9" x14ac:dyDescent="0.3">
      <c r="A3362" s="2"/>
      <c r="H3362" s="3"/>
      <c r="I3362" s="3"/>
    </row>
    <row r="3363" spans="1:9" x14ac:dyDescent="0.3">
      <c r="A3363" s="2"/>
      <c r="H3363" s="3"/>
      <c r="I3363" s="3"/>
    </row>
    <row r="3364" spans="1:9" x14ac:dyDescent="0.3">
      <c r="A3364" s="2"/>
      <c r="H3364" s="3"/>
      <c r="I3364" s="3"/>
    </row>
    <row r="3365" spans="1:9" x14ac:dyDescent="0.3">
      <c r="A3365" s="2"/>
      <c r="H3365" s="3"/>
      <c r="I3365" s="3"/>
    </row>
    <row r="3366" spans="1:9" x14ac:dyDescent="0.3">
      <c r="A3366" s="2"/>
      <c r="H3366" s="3"/>
      <c r="I3366" s="3"/>
    </row>
    <row r="3367" spans="1:9" x14ac:dyDescent="0.3">
      <c r="A3367" s="2"/>
      <c r="H3367" s="3"/>
      <c r="I3367" s="3"/>
    </row>
    <row r="3368" spans="1:9" x14ac:dyDescent="0.3">
      <c r="A3368" s="2"/>
      <c r="H3368" s="3"/>
      <c r="I3368" s="3"/>
    </row>
    <row r="3369" spans="1:9" x14ac:dyDescent="0.3">
      <c r="A3369" s="2"/>
      <c r="H3369" s="3"/>
      <c r="I3369" s="3"/>
    </row>
    <row r="3370" spans="1:9" x14ac:dyDescent="0.3">
      <c r="A3370" s="2"/>
      <c r="H3370" s="3"/>
      <c r="I3370" s="3"/>
    </row>
    <row r="3371" spans="1:9" x14ac:dyDescent="0.3">
      <c r="A3371" s="2"/>
      <c r="H3371" s="3"/>
      <c r="I3371" s="3"/>
    </row>
    <row r="3372" spans="1:9" x14ac:dyDescent="0.3">
      <c r="A3372" s="2"/>
      <c r="H3372" s="3"/>
      <c r="I3372" s="3"/>
    </row>
    <row r="3373" spans="1:9" x14ac:dyDescent="0.3">
      <c r="A3373" s="2"/>
      <c r="H3373" s="3"/>
      <c r="I3373" s="3"/>
    </row>
    <row r="3374" spans="1:9" x14ac:dyDescent="0.3">
      <c r="A3374" s="2"/>
      <c r="H3374" s="3"/>
      <c r="I3374" s="3"/>
    </row>
    <row r="3375" spans="1:9" x14ac:dyDescent="0.3">
      <c r="A3375" s="2"/>
      <c r="H3375" s="3"/>
      <c r="I3375" s="3"/>
    </row>
    <row r="3376" spans="1:9" x14ac:dyDescent="0.3">
      <c r="A3376" s="2"/>
      <c r="H3376" s="3"/>
      <c r="I3376" s="3"/>
    </row>
    <row r="3377" spans="1:9" x14ac:dyDescent="0.3">
      <c r="A3377" s="2"/>
      <c r="H3377" s="3"/>
      <c r="I3377" s="3"/>
    </row>
    <row r="3378" spans="1:9" x14ac:dyDescent="0.3">
      <c r="A3378" s="2"/>
      <c r="H3378" s="3"/>
      <c r="I3378" s="3"/>
    </row>
    <row r="3379" spans="1:9" x14ac:dyDescent="0.3">
      <c r="A3379" s="2"/>
      <c r="H3379" s="3"/>
      <c r="I3379" s="3"/>
    </row>
    <row r="3380" spans="1:9" x14ac:dyDescent="0.3">
      <c r="A3380" s="2"/>
      <c r="H3380" s="3"/>
      <c r="I3380" s="3"/>
    </row>
    <row r="3381" spans="1:9" x14ac:dyDescent="0.3">
      <c r="A3381" s="2"/>
      <c r="H3381" s="3"/>
      <c r="I3381" s="3"/>
    </row>
    <row r="3382" spans="1:9" x14ac:dyDescent="0.3">
      <c r="A3382" s="2"/>
      <c r="H3382" s="3"/>
      <c r="I3382" s="3"/>
    </row>
    <row r="3383" spans="1:9" x14ac:dyDescent="0.3">
      <c r="A3383" s="2"/>
      <c r="H3383" s="3"/>
      <c r="I3383" s="3"/>
    </row>
    <row r="3384" spans="1:9" x14ac:dyDescent="0.3">
      <c r="A3384" s="2"/>
      <c r="H3384" s="3"/>
      <c r="I3384" s="3"/>
    </row>
    <row r="3385" spans="1:9" x14ac:dyDescent="0.3">
      <c r="A3385" s="2"/>
      <c r="H3385" s="3"/>
      <c r="I3385" s="3"/>
    </row>
    <row r="3386" spans="1:9" x14ac:dyDescent="0.3">
      <c r="A3386" s="2"/>
      <c r="H3386" s="3"/>
      <c r="I3386" s="3"/>
    </row>
    <row r="3387" spans="1:9" x14ac:dyDescent="0.3">
      <c r="A3387" s="2"/>
      <c r="H3387" s="3"/>
      <c r="I3387" s="3"/>
    </row>
    <row r="3388" spans="1:9" x14ac:dyDescent="0.3">
      <c r="A3388" s="2"/>
      <c r="H3388" s="3"/>
      <c r="I3388" s="3"/>
    </row>
    <row r="3389" spans="1:9" x14ac:dyDescent="0.3">
      <c r="A3389" s="2"/>
      <c r="H3389" s="3"/>
      <c r="I3389" s="3"/>
    </row>
    <row r="3390" spans="1:9" x14ac:dyDescent="0.3">
      <c r="A3390" s="2"/>
      <c r="H3390" s="3"/>
      <c r="I3390" s="3"/>
    </row>
    <row r="3391" spans="1:9" x14ac:dyDescent="0.3">
      <c r="A3391" s="2"/>
      <c r="H3391" s="3"/>
      <c r="I3391" s="3"/>
    </row>
    <row r="3392" spans="1:9" x14ac:dyDescent="0.3">
      <c r="A3392" s="2"/>
      <c r="H3392" s="3"/>
      <c r="I3392" s="3"/>
    </row>
    <row r="3393" spans="1:9" x14ac:dyDescent="0.3">
      <c r="A3393" s="2"/>
      <c r="H3393" s="3"/>
      <c r="I3393" s="3"/>
    </row>
    <row r="3394" spans="1:9" x14ac:dyDescent="0.3">
      <c r="A3394" s="2"/>
      <c r="H3394" s="3"/>
      <c r="I3394" s="3"/>
    </row>
    <row r="3395" spans="1:9" x14ac:dyDescent="0.3">
      <c r="A3395" s="2"/>
      <c r="H3395" s="3"/>
      <c r="I3395" s="3"/>
    </row>
    <row r="3396" spans="1:9" x14ac:dyDescent="0.3">
      <c r="A3396" s="2"/>
      <c r="H3396" s="3"/>
      <c r="I3396" s="3"/>
    </row>
    <row r="3397" spans="1:9" x14ac:dyDescent="0.3">
      <c r="A3397" s="2"/>
      <c r="H3397" s="3"/>
      <c r="I3397" s="3"/>
    </row>
    <row r="3398" spans="1:9" x14ac:dyDescent="0.3">
      <c r="A3398" s="2"/>
      <c r="H3398" s="3"/>
      <c r="I3398" s="3"/>
    </row>
    <row r="3399" spans="1:9" x14ac:dyDescent="0.3">
      <c r="A3399" s="2"/>
      <c r="H3399" s="3"/>
      <c r="I3399" s="3"/>
    </row>
    <row r="3400" spans="1:9" x14ac:dyDescent="0.3">
      <c r="A3400" s="2"/>
      <c r="H3400" s="3"/>
      <c r="I3400" s="3"/>
    </row>
    <row r="3401" spans="1:9" x14ac:dyDescent="0.3">
      <c r="A3401" s="2"/>
      <c r="H3401" s="3"/>
      <c r="I3401" s="3"/>
    </row>
    <row r="3402" spans="1:9" x14ac:dyDescent="0.3">
      <c r="A3402" s="2"/>
      <c r="H3402" s="3"/>
      <c r="I3402" s="3"/>
    </row>
    <row r="3403" spans="1:9" x14ac:dyDescent="0.3">
      <c r="A3403" s="2"/>
      <c r="H3403" s="3"/>
      <c r="I3403" s="3"/>
    </row>
    <row r="3404" spans="1:9" x14ac:dyDescent="0.3">
      <c r="A3404" s="2"/>
      <c r="H3404" s="3"/>
      <c r="I3404" s="3"/>
    </row>
    <row r="3405" spans="1:9" x14ac:dyDescent="0.3">
      <c r="A3405" s="2"/>
      <c r="H3405" s="3"/>
      <c r="I3405" s="3"/>
    </row>
    <row r="3406" spans="1:9" x14ac:dyDescent="0.3">
      <c r="A3406" s="2"/>
      <c r="H3406" s="3"/>
      <c r="I3406" s="3"/>
    </row>
    <row r="3407" spans="1:9" x14ac:dyDescent="0.3">
      <c r="A3407" s="2"/>
      <c r="H3407" s="3"/>
      <c r="I3407" s="3"/>
    </row>
    <row r="3408" spans="1:9" x14ac:dyDescent="0.3">
      <c r="A3408" s="2"/>
      <c r="H3408" s="3"/>
      <c r="I3408" s="3"/>
    </row>
    <row r="3409" spans="1:9" x14ac:dyDescent="0.3">
      <c r="A3409" s="2"/>
      <c r="H3409" s="3"/>
      <c r="I3409" s="3"/>
    </row>
    <row r="3410" spans="1:9" x14ac:dyDescent="0.3">
      <c r="A3410" s="2"/>
      <c r="H3410" s="3"/>
      <c r="I3410" s="3"/>
    </row>
    <row r="3411" spans="1:9" x14ac:dyDescent="0.3">
      <c r="A3411" s="2"/>
      <c r="H3411" s="3"/>
      <c r="I3411" s="3"/>
    </row>
    <row r="3412" spans="1:9" x14ac:dyDescent="0.3">
      <c r="A3412" s="2"/>
      <c r="H3412" s="3"/>
      <c r="I3412" s="3"/>
    </row>
    <row r="3413" spans="1:9" x14ac:dyDescent="0.3">
      <c r="A3413" s="2"/>
      <c r="H3413" s="3"/>
      <c r="I3413" s="3"/>
    </row>
    <row r="3414" spans="1:9" x14ac:dyDescent="0.3">
      <c r="A3414" s="2"/>
      <c r="H3414" s="3"/>
      <c r="I3414" s="3"/>
    </row>
    <row r="3415" spans="1:9" x14ac:dyDescent="0.3">
      <c r="A3415" s="2"/>
      <c r="H3415" s="3"/>
      <c r="I3415" s="3"/>
    </row>
    <row r="3416" spans="1:9" x14ac:dyDescent="0.3">
      <c r="A3416" s="2"/>
      <c r="H3416" s="3"/>
      <c r="I3416" s="3"/>
    </row>
    <row r="3417" spans="1:9" x14ac:dyDescent="0.3">
      <c r="A3417" s="2"/>
      <c r="H3417" s="3"/>
      <c r="I3417" s="3"/>
    </row>
    <row r="3418" spans="1:9" x14ac:dyDescent="0.3">
      <c r="A3418" s="2"/>
      <c r="H3418" s="3"/>
      <c r="I3418" s="3"/>
    </row>
    <row r="3419" spans="1:9" x14ac:dyDescent="0.3">
      <c r="A3419" s="2"/>
      <c r="H3419" s="3"/>
      <c r="I3419" s="3"/>
    </row>
    <row r="3420" spans="1:9" x14ac:dyDescent="0.3">
      <c r="A3420" s="2"/>
      <c r="H3420" s="3"/>
      <c r="I3420" s="3"/>
    </row>
    <row r="3421" spans="1:9" x14ac:dyDescent="0.3">
      <c r="A3421" s="2"/>
      <c r="H3421" s="3"/>
      <c r="I3421" s="3"/>
    </row>
    <row r="3422" spans="1:9" x14ac:dyDescent="0.3">
      <c r="A3422" s="2"/>
      <c r="H3422" s="3"/>
      <c r="I3422" s="3"/>
    </row>
    <row r="3423" spans="1:9" x14ac:dyDescent="0.3">
      <c r="A3423" s="2"/>
      <c r="H3423" s="3"/>
      <c r="I3423" s="3"/>
    </row>
    <row r="3424" spans="1:9" x14ac:dyDescent="0.3">
      <c r="A3424" s="2"/>
      <c r="H3424" s="3"/>
      <c r="I3424" s="3"/>
    </row>
    <row r="3425" spans="1:9" x14ac:dyDescent="0.3">
      <c r="A3425" s="2"/>
      <c r="H3425" s="3"/>
      <c r="I3425" s="3"/>
    </row>
    <row r="3426" spans="1:9" x14ac:dyDescent="0.3">
      <c r="A3426" s="2"/>
      <c r="H3426" s="3"/>
      <c r="I3426" s="3"/>
    </row>
    <row r="3427" spans="1:9" x14ac:dyDescent="0.3">
      <c r="A3427" s="2"/>
      <c r="H3427" s="3"/>
      <c r="I3427" s="3"/>
    </row>
    <row r="3428" spans="1:9" x14ac:dyDescent="0.3">
      <c r="A3428" s="2"/>
      <c r="H3428" s="3"/>
      <c r="I3428" s="3"/>
    </row>
    <row r="3429" spans="1:9" x14ac:dyDescent="0.3">
      <c r="A3429" s="2"/>
      <c r="H3429" s="3"/>
      <c r="I3429" s="3"/>
    </row>
    <row r="3430" spans="1:9" x14ac:dyDescent="0.3">
      <c r="A3430" s="2"/>
      <c r="H3430" s="3"/>
      <c r="I3430" s="3"/>
    </row>
    <row r="3431" spans="1:9" x14ac:dyDescent="0.3">
      <c r="A3431" s="2"/>
      <c r="H3431" s="3"/>
      <c r="I3431" s="3"/>
    </row>
    <row r="3432" spans="1:9" x14ac:dyDescent="0.3">
      <c r="A3432" s="2"/>
      <c r="H3432" s="3"/>
      <c r="I3432" s="3"/>
    </row>
    <row r="3433" spans="1:9" x14ac:dyDescent="0.3">
      <c r="A3433" s="2"/>
      <c r="H3433" s="3"/>
      <c r="I3433" s="3"/>
    </row>
    <row r="3434" spans="1:9" x14ac:dyDescent="0.3">
      <c r="A3434" s="2"/>
      <c r="H3434" s="3"/>
      <c r="I3434" s="3"/>
    </row>
    <row r="3435" spans="1:9" x14ac:dyDescent="0.3">
      <c r="A3435" s="2"/>
      <c r="H3435" s="3"/>
      <c r="I3435" s="3"/>
    </row>
    <row r="3436" spans="1:9" x14ac:dyDescent="0.3">
      <c r="A3436" s="2"/>
      <c r="H3436" s="3"/>
      <c r="I3436" s="3"/>
    </row>
    <row r="3437" spans="1:9" x14ac:dyDescent="0.3">
      <c r="A3437" s="2"/>
      <c r="H3437" s="3"/>
      <c r="I3437" s="3"/>
    </row>
    <row r="3438" spans="1:9" x14ac:dyDescent="0.3">
      <c r="A3438" s="2"/>
      <c r="H3438" s="3"/>
      <c r="I3438" s="3"/>
    </row>
    <row r="3439" spans="1:9" x14ac:dyDescent="0.3">
      <c r="A3439" s="2"/>
      <c r="H3439" s="3"/>
      <c r="I3439" s="3"/>
    </row>
    <row r="3440" spans="1:9" x14ac:dyDescent="0.3">
      <c r="A3440" s="2"/>
      <c r="H3440" s="3"/>
      <c r="I3440" s="3"/>
    </row>
    <row r="3441" spans="1:9" x14ac:dyDescent="0.3">
      <c r="A3441" s="2"/>
      <c r="H3441" s="3"/>
      <c r="I3441" s="3"/>
    </row>
    <row r="3442" spans="1:9" x14ac:dyDescent="0.3">
      <c r="A3442" s="2"/>
      <c r="H3442" s="3"/>
      <c r="I3442" s="3"/>
    </row>
    <row r="3443" spans="1:9" x14ac:dyDescent="0.3">
      <c r="A3443" s="2"/>
      <c r="H3443" s="3"/>
      <c r="I3443" s="3"/>
    </row>
    <row r="3444" spans="1:9" x14ac:dyDescent="0.3">
      <c r="A3444" s="2"/>
      <c r="H3444" s="3"/>
      <c r="I3444" s="3"/>
    </row>
    <row r="3445" spans="1:9" x14ac:dyDescent="0.3">
      <c r="A3445" s="2"/>
      <c r="H3445" s="3"/>
      <c r="I3445" s="3"/>
    </row>
    <row r="3446" spans="1:9" x14ac:dyDescent="0.3">
      <c r="A3446" s="2"/>
      <c r="H3446" s="3"/>
      <c r="I3446" s="3"/>
    </row>
    <row r="3447" spans="1:9" x14ac:dyDescent="0.3">
      <c r="A3447" s="2"/>
      <c r="H3447" s="3"/>
      <c r="I3447" s="3"/>
    </row>
    <row r="3448" spans="1:9" x14ac:dyDescent="0.3">
      <c r="A3448" s="2"/>
      <c r="H3448" s="3"/>
      <c r="I3448" s="3"/>
    </row>
    <row r="3449" spans="1:9" x14ac:dyDescent="0.3">
      <c r="A3449" s="2"/>
      <c r="H3449" s="3"/>
      <c r="I3449" s="3"/>
    </row>
    <row r="3450" spans="1:9" x14ac:dyDescent="0.3">
      <c r="A3450" s="2"/>
      <c r="H3450" s="3"/>
      <c r="I3450" s="3"/>
    </row>
    <row r="3451" spans="1:9" x14ac:dyDescent="0.3">
      <c r="A3451" s="2"/>
      <c r="H3451" s="3"/>
      <c r="I3451" s="3"/>
    </row>
    <row r="3452" spans="1:9" x14ac:dyDescent="0.3">
      <c r="A3452" s="2"/>
      <c r="H3452" s="3"/>
      <c r="I3452" s="3"/>
    </row>
    <row r="3453" spans="1:9" x14ac:dyDescent="0.3">
      <c r="A3453" s="2"/>
      <c r="H3453" s="3"/>
      <c r="I3453" s="3"/>
    </row>
    <row r="3454" spans="1:9" x14ac:dyDescent="0.3">
      <c r="A3454" s="2"/>
      <c r="H3454" s="3"/>
      <c r="I3454" s="3"/>
    </row>
    <row r="3455" spans="1:9" x14ac:dyDescent="0.3">
      <c r="A3455" s="2"/>
      <c r="H3455" s="3"/>
      <c r="I3455" s="3"/>
    </row>
    <row r="3456" spans="1:9" x14ac:dyDescent="0.3">
      <c r="A3456" s="2"/>
      <c r="H3456" s="3"/>
      <c r="I3456" s="3"/>
    </row>
    <row r="3457" spans="1:9" x14ac:dyDescent="0.3">
      <c r="A3457" s="2"/>
      <c r="H3457" s="3"/>
      <c r="I3457" s="3"/>
    </row>
    <row r="3458" spans="1:9" x14ac:dyDescent="0.3">
      <c r="A3458" s="2"/>
      <c r="H3458" s="3"/>
      <c r="I3458" s="3"/>
    </row>
    <row r="3459" spans="1:9" x14ac:dyDescent="0.3">
      <c r="A3459" s="2"/>
      <c r="H3459" s="3"/>
      <c r="I3459" s="3"/>
    </row>
    <row r="3460" spans="1:9" x14ac:dyDescent="0.3">
      <c r="A3460" s="2"/>
      <c r="H3460" s="3"/>
      <c r="I3460" s="3"/>
    </row>
    <row r="3461" spans="1:9" x14ac:dyDescent="0.3">
      <c r="A3461" s="2"/>
      <c r="H3461" s="3"/>
      <c r="I3461" s="3"/>
    </row>
    <row r="3462" spans="1:9" x14ac:dyDescent="0.3">
      <c r="A3462" s="2"/>
      <c r="H3462" s="3"/>
      <c r="I3462" s="3"/>
    </row>
    <row r="3463" spans="1:9" x14ac:dyDescent="0.3">
      <c r="A3463" s="2"/>
      <c r="H3463" s="3"/>
      <c r="I3463" s="3"/>
    </row>
    <row r="3464" spans="1:9" x14ac:dyDescent="0.3">
      <c r="A3464" s="2"/>
      <c r="H3464" s="3"/>
      <c r="I3464" s="3"/>
    </row>
    <row r="3465" spans="1:9" x14ac:dyDescent="0.3">
      <c r="A3465" s="2"/>
      <c r="H3465" s="3"/>
      <c r="I3465" s="3"/>
    </row>
    <row r="3466" spans="1:9" x14ac:dyDescent="0.3">
      <c r="A3466" s="2"/>
      <c r="H3466" s="3"/>
      <c r="I3466" s="3"/>
    </row>
    <row r="3467" spans="1:9" x14ac:dyDescent="0.3">
      <c r="A3467" s="2"/>
      <c r="H3467" s="3"/>
      <c r="I3467" s="3"/>
    </row>
    <row r="3468" spans="1:9" x14ac:dyDescent="0.3">
      <c r="A3468" s="2"/>
      <c r="H3468" s="3"/>
      <c r="I3468" s="3"/>
    </row>
    <row r="3469" spans="1:9" x14ac:dyDescent="0.3">
      <c r="A3469" s="2"/>
      <c r="H3469" s="3"/>
      <c r="I3469" s="3"/>
    </row>
    <row r="3470" spans="1:9" x14ac:dyDescent="0.3">
      <c r="A3470" s="2"/>
      <c r="H3470" s="3"/>
      <c r="I3470" s="3"/>
    </row>
    <row r="3471" spans="1:9" x14ac:dyDescent="0.3">
      <c r="A3471" s="2"/>
      <c r="H3471" s="3"/>
      <c r="I3471" s="3"/>
    </row>
    <row r="3472" spans="1:9" x14ac:dyDescent="0.3">
      <c r="A3472" s="2"/>
      <c r="H3472" s="3"/>
      <c r="I3472" s="3"/>
    </row>
    <row r="3473" spans="1:9" x14ac:dyDescent="0.3">
      <c r="A3473" s="2"/>
      <c r="H3473" s="3"/>
      <c r="I3473" s="3"/>
    </row>
    <row r="3474" spans="1:9" x14ac:dyDescent="0.3">
      <c r="A3474" s="2"/>
      <c r="H3474" s="3"/>
      <c r="I3474" s="3"/>
    </row>
    <row r="3475" spans="1:9" x14ac:dyDescent="0.3">
      <c r="A3475" s="2"/>
      <c r="H3475" s="3"/>
      <c r="I3475" s="3"/>
    </row>
    <row r="3476" spans="1:9" x14ac:dyDescent="0.3">
      <c r="A3476" s="2"/>
      <c r="H3476" s="3"/>
      <c r="I3476" s="3"/>
    </row>
    <row r="3477" spans="1:9" x14ac:dyDescent="0.3">
      <c r="A3477" s="2"/>
      <c r="H3477" s="3"/>
      <c r="I3477" s="3"/>
    </row>
    <row r="3478" spans="1:9" x14ac:dyDescent="0.3">
      <c r="A3478" s="2"/>
      <c r="H3478" s="3"/>
      <c r="I3478" s="3"/>
    </row>
    <row r="3479" spans="1:9" x14ac:dyDescent="0.3">
      <c r="A3479" s="2"/>
      <c r="H3479" s="3"/>
      <c r="I3479" s="3"/>
    </row>
    <row r="3480" spans="1:9" x14ac:dyDescent="0.3">
      <c r="A3480" s="2"/>
      <c r="H3480" s="3"/>
      <c r="I3480" s="3"/>
    </row>
    <row r="3481" spans="1:9" x14ac:dyDescent="0.3">
      <c r="A3481" s="2"/>
      <c r="H3481" s="3"/>
      <c r="I3481" s="3"/>
    </row>
    <row r="3482" spans="1:9" x14ac:dyDescent="0.3">
      <c r="A3482" s="2"/>
      <c r="H3482" s="3"/>
      <c r="I3482" s="3"/>
    </row>
    <row r="3483" spans="1:9" x14ac:dyDescent="0.3">
      <c r="A3483" s="2"/>
      <c r="H3483" s="3"/>
      <c r="I3483" s="3"/>
    </row>
    <row r="3484" spans="1:9" x14ac:dyDescent="0.3">
      <c r="A3484" s="2"/>
      <c r="H3484" s="3"/>
      <c r="I3484" s="3"/>
    </row>
    <row r="3485" spans="1:9" x14ac:dyDescent="0.3">
      <c r="A3485" s="2"/>
      <c r="H3485" s="3"/>
      <c r="I3485" s="3"/>
    </row>
    <row r="3486" spans="1:9" x14ac:dyDescent="0.3">
      <c r="A3486" s="2"/>
      <c r="H3486" s="3"/>
      <c r="I3486" s="3"/>
    </row>
    <row r="3487" spans="1:9" x14ac:dyDescent="0.3">
      <c r="A3487" s="2"/>
      <c r="H3487" s="3"/>
      <c r="I3487" s="3"/>
    </row>
    <row r="3488" spans="1:9" x14ac:dyDescent="0.3">
      <c r="A3488" s="2"/>
      <c r="H3488" s="3"/>
      <c r="I3488" s="3"/>
    </row>
    <row r="3489" spans="1:9" x14ac:dyDescent="0.3">
      <c r="A3489" s="2"/>
      <c r="H3489" s="3"/>
      <c r="I3489" s="3"/>
    </row>
    <row r="3490" spans="1:9" x14ac:dyDescent="0.3">
      <c r="A3490" s="2"/>
      <c r="H3490" s="3"/>
      <c r="I3490" s="3"/>
    </row>
    <row r="3491" spans="1:9" x14ac:dyDescent="0.3">
      <c r="A3491" s="2"/>
      <c r="H3491" s="3"/>
      <c r="I3491" s="3"/>
    </row>
    <row r="3492" spans="1:9" x14ac:dyDescent="0.3">
      <c r="A3492" s="2"/>
      <c r="H3492" s="3"/>
      <c r="I3492" s="3"/>
    </row>
    <row r="3493" spans="1:9" x14ac:dyDescent="0.3">
      <c r="A3493" s="2"/>
      <c r="H3493" s="3"/>
      <c r="I3493" s="3"/>
    </row>
    <row r="3494" spans="1:9" x14ac:dyDescent="0.3">
      <c r="A3494" s="2"/>
      <c r="H3494" s="3"/>
      <c r="I3494" s="3"/>
    </row>
    <row r="3495" spans="1:9" x14ac:dyDescent="0.3">
      <c r="A3495" s="2"/>
      <c r="H3495" s="3"/>
      <c r="I3495" s="3"/>
    </row>
    <row r="3496" spans="1:9" x14ac:dyDescent="0.3">
      <c r="A3496" s="2"/>
      <c r="H3496" s="3"/>
      <c r="I3496" s="3"/>
    </row>
    <row r="3497" spans="1:9" x14ac:dyDescent="0.3">
      <c r="A3497" s="2"/>
      <c r="H3497" s="3"/>
      <c r="I3497" s="3"/>
    </row>
    <row r="3498" spans="1:9" x14ac:dyDescent="0.3">
      <c r="A3498" s="2"/>
      <c r="H3498" s="3"/>
      <c r="I3498" s="3"/>
    </row>
    <row r="3499" spans="1:9" x14ac:dyDescent="0.3">
      <c r="A3499" s="2"/>
      <c r="H3499" s="3"/>
      <c r="I3499" s="3"/>
    </row>
    <row r="3500" spans="1:9" x14ac:dyDescent="0.3">
      <c r="A3500" s="2"/>
      <c r="H3500" s="3"/>
      <c r="I3500" s="3"/>
    </row>
    <row r="3501" spans="1:9" x14ac:dyDescent="0.3">
      <c r="A3501" s="2"/>
      <c r="H3501" s="3"/>
      <c r="I3501" s="3"/>
    </row>
    <row r="3502" spans="1:9" x14ac:dyDescent="0.3">
      <c r="A3502" s="2"/>
      <c r="H3502" s="3"/>
      <c r="I3502" s="3"/>
    </row>
    <row r="3503" spans="1:9" x14ac:dyDescent="0.3">
      <c r="A3503" s="2"/>
      <c r="H3503" s="3"/>
      <c r="I3503" s="3"/>
    </row>
    <row r="3504" spans="1:9" x14ac:dyDescent="0.3">
      <c r="A3504" s="2"/>
      <c r="H3504" s="3"/>
      <c r="I3504" s="3"/>
    </row>
    <row r="3505" spans="1:9" x14ac:dyDescent="0.3">
      <c r="A3505" s="2"/>
      <c r="H3505" s="3"/>
      <c r="I3505" s="3"/>
    </row>
    <row r="3506" spans="1:9" x14ac:dyDescent="0.3">
      <c r="A3506" s="2"/>
      <c r="H3506" s="3"/>
      <c r="I3506" s="3"/>
    </row>
    <row r="3507" spans="1:9" x14ac:dyDescent="0.3">
      <c r="A3507" s="2"/>
      <c r="H3507" s="3"/>
      <c r="I3507" s="3"/>
    </row>
    <row r="3508" spans="1:9" x14ac:dyDescent="0.3">
      <c r="A3508" s="2"/>
      <c r="H3508" s="3"/>
      <c r="I3508" s="3"/>
    </row>
    <row r="3509" spans="1:9" x14ac:dyDescent="0.3">
      <c r="A3509" s="2"/>
      <c r="H3509" s="3"/>
      <c r="I3509" s="3"/>
    </row>
    <row r="3510" spans="1:9" x14ac:dyDescent="0.3">
      <c r="A3510" s="2"/>
      <c r="H3510" s="3"/>
      <c r="I3510" s="3"/>
    </row>
    <row r="3511" spans="1:9" x14ac:dyDescent="0.3">
      <c r="A3511" s="2"/>
      <c r="H3511" s="3"/>
      <c r="I3511" s="3"/>
    </row>
    <row r="3512" spans="1:9" x14ac:dyDescent="0.3">
      <c r="A3512" s="2"/>
      <c r="H3512" s="3"/>
      <c r="I3512" s="3"/>
    </row>
    <row r="3513" spans="1:9" x14ac:dyDescent="0.3">
      <c r="A3513" s="2"/>
      <c r="H3513" s="3"/>
      <c r="I3513" s="3"/>
    </row>
    <row r="3514" spans="1:9" x14ac:dyDescent="0.3">
      <c r="A3514" s="2"/>
      <c r="H3514" s="3"/>
      <c r="I3514" s="3"/>
    </row>
    <row r="3515" spans="1:9" x14ac:dyDescent="0.3">
      <c r="A3515" s="2"/>
      <c r="H3515" s="3"/>
      <c r="I3515" s="3"/>
    </row>
    <row r="3516" spans="1:9" x14ac:dyDescent="0.3">
      <c r="A3516" s="2"/>
      <c r="H3516" s="3"/>
      <c r="I3516" s="3"/>
    </row>
    <row r="3517" spans="1:9" x14ac:dyDescent="0.3">
      <c r="A3517" s="2"/>
      <c r="H3517" s="3"/>
      <c r="I3517" s="3"/>
    </row>
    <row r="3518" spans="1:9" x14ac:dyDescent="0.3">
      <c r="A3518" s="2"/>
      <c r="H3518" s="3"/>
      <c r="I3518" s="3"/>
    </row>
    <row r="3519" spans="1:9" x14ac:dyDescent="0.3">
      <c r="A3519" s="2"/>
      <c r="H3519" s="3"/>
      <c r="I3519" s="3"/>
    </row>
    <row r="3520" spans="1:9" x14ac:dyDescent="0.3">
      <c r="A3520" s="2"/>
      <c r="H3520" s="3"/>
      <c r="I3520" s="3"/>
    </row>
    <row r="3521" spans="1:9" x14ac:dyDescent="0.3">
      <c r="A3521" s="2"/>
      <c r="H3521" s="3"/>
      <c r="I3521" s="3"/>
    </row>
    <row r="3522" spans="1:9" x14ac:dyDescent="0.3">
      <c r="A3522" s="2"/>
      <c r="H3522" s="3"/>
      <c r="I3522" s="3"/>
    </row>
    <row r="3523" spans="1:9" x14ac:dyDescent="0.3">
      <c r="A3523" s="2"/>
      <c r="H3523" s="3"/>
      <c r="I3523" s="3"/>
    </row>
    <row r="3524" spans="1:9" x14ac:dyDescent="0.3">
      <c r="A3524" s="2"/>
      <c r="H3524" s="3"/>
      <c r="I3524" s="3"/>
    </row>
    <row r="3525" spans="1:9" x14ac:dyDescent="0.3">
      <c r="A3525" s="2"/>
      <c r="H3525" s="3"/>
      <c r="I3525" s="3"/>
    </row>
    <row r="3526" spans="1:9" x14ac:dyDescent="0.3">
      <c r="A3526" s="2"/>
      <c r="H3526" s="3"/>
      <c r="I3526" s="3"/>
    </row>
    <row r="3527" spans="1:9" x14ac:dyDescent="0.3">
      <c r="A3527" s="2"/>
      <c r="H3527" s="3"/>
      <c r="I3527" s="3"/>
    </row>
    <row r="3528" spans="1:9" x14ac:dyDescent="0.3">
      <c r="A3528" s="2"/>
      <c r="H3528" s="3"/>
      <c r="I3528" s="3"/>
    </row>
    <row r="3529" spans="1:9" x14ac:dyDescent="0.3">
      <c r="A3529" s="2"/>
      <c r="H3529" s="3"/>
      <c r="I3529" s="3"/>
    </row>
    <row r="3530" spans="1:9" x14ac:dyDescent="0.3">
      <c r="A3530" s="2"/>
      <c r="H3530" s="3"/>
      <c r="I3530" s="3"/>
    </row>
    <row r="3531" spans="1:9" x14ac:dyDescent="0.3">
      <c r="A3531" s="2"/>
      <c r="H3531" s="3"/>
      <c r="I3531" s="3"/>
    </row>
    <row r="3532" spans="1:9" x14ac:dyDescent="0.3">
      <c r="A3532" s="2"/>
      <c r="H3532" s="3"/>
      <c r="I3532" s="3"/>
    </row>
    <row r="3533" spans="1:9" x14ac:dyDescent="0.3">
      <c r="A3533" s="2"/>
      <c r="H3533" s="3"/>
      <c r="I3533" s="3"/>
    </row>
    <row r="3534" spans="1:9" x14ac:dyDescent="0.3">
      <c r="A3534" s="2"/>
      <c r="H3534" s="3"/>
      <c r="I3534" s="3"/>
    </row>
    <row r="3535" spans="1:9" x14ac:dyDescent="0.3">
      <c r="A3535" s="2"/>
      <c r="H3535" s="3"/>
      <c r="I3535" s="3"/>
    </row>
    <row r="3536" spans="1:9" x14ac:dyDescent="0.3">
      <c r="A3536" s="2"/>
      <c r="H3536" s="3"/>
      <c r="I3536" s="3"/>
    </row>
    <row r="3537" spans="1:9" x14ac:dyDescent="0.3">
      <c r="A3537" s="2"/>
      <c r="H3537" s="3"/>
      <c r="I3537" s="3"/>
    </row>
    <row r="3538" spans="1:9" x14ac:dyDescent="0.3">
      <c r="A3538" s="2"/>
      <c r="H3538" s="3"/>
      <c r="I3538" s="3"/>
    </row>
    <row r="3539" spans="1:9" x14ac:dyDescent="0.3">
      <c r="A3539" s="2"/>
      <c r="H3539" s="3"/>
      <c r="I3539" s="3"/>
    </row>
    <row r="3540" spans="1:9" x14ac:dyDescent="0.3">
      <c r="A3540" s="2"/>
      <c r="H3540" s="3"/>
      <c r="I3540" s="3"/>
    </row>
    <row r="3541" spans="1:9" x14ac:dyDescent="0.3">
      <c r="A3541" s="2"/>
      <c r="H3541" s="3"/>
      <c r="I3541" s="3"/>
    </row>
    <row r="3542" spans="1:9" x14ac:dyDescent="0.3">
      <c r="A3542" s="2"/>
      <c r="H3542" s="3"/>
      <c r="I3542" s="3"/>
    </row>
    <row r="3543" spans="1:9" x14ac:dyDescent="0.3">
      <c r="A3543" s="2"/>
      <c r="H3543" s="3"/>
      <c r="I3543" s="3"/>
    </row>
    <row r="3544" spans="1:9" x14ac:dyDescent="0.3">
      <c r="A3544" s="2"/>
      <c r="H3544" s="3"/>
      <c r="I3544" s="3"/>
    </row>
    <row r="3545" spans="1:9" x14ac:dyDescent="0.3">
      <c r="A3545" s="2"/>
      <c r="H3545" s="3"/>
      <c r="I3545" s="3"/>
    </row>
    <row r="3546" spans="1:9" x14ac:dyDescent="0.3">
      <c r="A3546" s="2"/>
      <c r="H3546" s="3"/>
      <c r="I3546" s="3"/>
    </row>
    <row r="3547" spans="1:9" x14ac:dyDescent="0.3">
      <c r="A3547" s="2"/>
      <c r="H3547" s="3"/>
      <c r="I3547" s="3"/>
    </row>
    <row r="3548" spans="1:9" x14ac:dyDescent="0.3">
      <c r="A3548" s="2"/>
      <c r="H3548" s="3"/>
      <c r="I3548" s="3"/>
    </row>
    <row r="3549" spans="1:9" x14ac:dyDescent="0.3">
      <c r="A3549" s="2"/>
      <c r="H3549" s="3"/>
      <c r="I3549" s="3"/>
    </row>
    <row r="3550" spans="1:9" x14ac:dyDescent="0.3">
      <c r="A3550" s="2"/>
      <c r="H3550" s="3"/>
      <c r="I3550" s="3"/>
    </row>
    <row r="3551" spans="1:9" x14ac:dyDescent="0.3">
      <c r="A3551" s="2"/>
      <c r="H3551" s="3"/>
      <c r="I3551" s="3"/>
    </row>
    <row r="3552" spans="1:9" x14ac:dyDescent="0.3">
      <c r="A3552" s="2"/>
      <c r="H3552" s="3"/>
      <c r="I3552" s="3"/>
    </row>
    <row r="3553" spans="1:9" x14ac:dyDescent="0.3">
      <c r="A3553" s="2"/>
      <c r="H3553" s="3"/>
      <c r="I3553" s="3"/>
    </row>
    <row r="3554" spans="1:9" x14ac:dyDescent="0.3">
      <c r="A3554" s="2"/>
      <c r="H3554" s="3"/>
      <c r="I3554" s="3"/>
    </row>
    <row r="3555" spans="1:9" x14ac:dyDescent="0.3">
      <c r="A3555" s="2"/>
      <c r="H3555" s="3"/>
      <c r="I3555" s="3"/>
    </row>
    <row r="3556" spans="1:9" x14ac:dyDescent="0.3">
      <c r="A3556" s="2"/>
      <c r="H3556" s="3"/>
      <c r="I3556" s="3"/>
    </row>
    <row r="3557" spans="1:9" x14ac:dyDescent="0.3">
      <c r="A3557" s="2"/>
      <c r="H3557" s="3"/>
      <c r="I3557" s="3"/>
    </row>
    <row r="3558" spans="1:9" x14ac:dyDescent="0.3">
      <c r="A3558" s="2"/>
      <c r="H3558" s="3"/>
      <c r="I3558" s="3"/>
    </row>
    <row r="3559" spans="1:9" x14ac:dyDescent="0.3">
      <c r="A3559" s="2"/>
      <c r="H3559" s="3"/>
      <c r="I3559" s="3"/>
    </row>
    <row r="3560" spans="1:9" x14ac:dyDescent="0.3">
      <c r="A3560" s="2"/>
      <c r="H3560" s="3"/>
      <c r="I3560" s="3"/>
    </row>
    <row r="3561" spans="1:9" x14ac:dyDescent="0.3">
      <c r="A3561" s="2"/>
      <c r="H3561" s="3"/>
      <c r="I3561" s="3"/>
    </row>
    <row r="3562" spans="1:9" x14ac:dyDescent="0.3">
      <c r="A3562" s="2"/>
      <c r="H3562" s="3"/>
      <c r="I3562" s="3"/>
    </row>
    <row r="3563" spans="1:9" x14ac:dyDescent="0.3">
      <c r="A3563" s="2"/>
      <c r="H3563" s="3"/>
      <c r="I3563" s="3"/>
    </row>
    <row r="3564" spans="1:9" x14ac:dyDescent="0.3">
      <c r="A3564" s="2"/>
      <c r="H3564" s="3"/>
      <c r="I3564" s="3"/>
    </row>
    <row r="3565" spans="1:9" x14ac:dyDescent="0.3">
      <c r="A3565" s="2"/>
      <c r="H3565" s="3"/>
      <c r="I3565" s="3"/>
    </row>
    <row r="3566" spans="1:9" x14ac:dyDescent="0.3">
      <c r="A3566" s="2"/>
      <c r="H3566" s="3"/>
      <c r="I3566" s="3"/>
    </row>
    <row r="3567" spans="1:9" x14ac:dyDescent="0.3">
      <c r="A3567" s="2"/>
      <c r="H3567" s="3"/>
      <c r="I3567" s="3"/>
    </row>
    <row r="3568" spans="1:9" x14ac:dyDescent="0.3">
      <c r="A3568" s="2"/>
      <c r="H3568" s="3"/>
      <c r="I3568" s="3"/>
    </row>
    <row r="3569" spans="1:9" x14ac:dyDescent="0.3">
      <c r="A3569" s="2"/>
      <c r="H3569" s="3"/>
      <c r="I3569" s="3"/>
    </row>
    <row r="3570" spans="1:9" x14ac:dyDescent="0.3">
      <c r="A3570" s="2"/>
      <c r="H3570" s="3"/>
      <c r="I3570" s="3"/>
    </row>
    <row r="3571" spans="1:9" x14ac:dyDescent="0.3">
      <c r="A3571" s="2"/>
      <c r="H3571" s="3"/>
      <c r="I3571" s="3"/>
    </row>
    <row r="3572" spans="1:9" x14ac:dyDescent="0.3">
      <c r="A3572" s="2"/>
      <c r="H3572" s="3"/>
      <c r="I3572" s="3"/>
    </row>
    <row r="3573" spans="1:9" x14ac:dyDescent="0.3">
      <c r="A3573" s="2"/>
      <c r="H3573" s="3"/>
      <c r="I3573" s="3"/>
    </row>
    <row r="3574" spans="1:9" x14ac:dyDescent="0.3">
      <c r="A3574" s="2"/>
      <c r="H3574" s="3"/>
      <c r="I3574" s="3"/>
    </row>
    <row r="3575" spans="1:9" x14ac:dyDescent="0.3">
      <c r="A3575" s="2"/>
      <c r="H3575" s="3"/>
      <c r="I3575" s="3"/>
    </row>
    <row r="3576" spans="1:9" x14ac:dyDescent="0.3">
      <c r="A3576" s="2"/>
      <c r="H3576" s="3"/>
      <c r="I3576" s="3"/>
    </row>
    <row r="3577" spans="1:9" x14ac:dyDescent="0.3">
      <c r="A3577" s="2"/>
      <c r="H3577" s="3"/>
      <c r="I3577" s="3"/>
    </row>
    <row r="3578" spans="1:9" x14ac:dyDescent="0.3">
      <c r="A3578" s="2"/>
      <c r="H3578" s="3"/>
      <c r="I3578" s="3"/>
    </row>
    <row r="3579" spans="1:9" x14ac:dyDescent="0.3">
      <c r="A3579" s="2"/>
      <c r="H3579" s="3"/>
      <c r="I3579" s="3"/>
    </row>
    <row r="3580" spans="1:9" x14ac:dyDescent="0.3">
      <c r="A3580" s="2"/>
      <c r="H3580" s="3"/>
      <c r="I3580" s="3"/>
    </row>
    <row r="3581" spans="1:9" x14ac:dyDescent="0.3">
      <c r="A3581" s="2"/>
      <c r="H3581" s="3"/>
      <c r="I3581" s="3"/>
    </row>
    <row r="3582" spans="1:9" x14ac:dyDescent="0.3">
      <c r="A3582" s="2"/>
      <c r="H3582" s="3"/>
      <c r="I3582" s="3"/>
    </row>
    <row r="3583" spans="1:9" x14ac:dyDescent="0.3">
      <c r="A3583" s="2"/>
      <c r="H3583" s="3"/>
      <c r="I3583" s="3"/>
    </row>
    <row r="3584" spans="1:9" x14ac:dyDescent="0.3">
      <c r="A3584" s="2"/>
      <c r="H3584" s="3"/>
      <c r="I3584" s="3"/>
    </row>
    <row r="3585" spans="1:9" x14ac:dyDescent="0.3">
      <c r="A3585" s="2"/>
      <c r="H3585" s="3"/>
      <c r="I3585" s="3"/>
    </row>
    <row r="3586" spans="1:9" x14ac:dyDescent="0.3">
      <c r="A3586" s="2"/>
      <c r="H3586" s="3"/>
      <c r="I3586" s="3"/>
    </row>
    <row r="3587" spans="1:9" x14ac:dyDescent="0.3">
      <c r="A3587" s="2"/>
      <c r="H3587" s="3"/>
      <c r="I3587" s="3"/>
    </row>
    <row r="3588" spans="1:9" x14ac:dyDescent="0.3">
      <c r="A3588" s="2"/>
      <c r="H3588" s="3"/>
      <c r="I3588" s="3"/>
    </row>
    <row r="3589" spans="1:9" x14ac:dyDescent="0.3">
      <c r="A3589" s="2"/>
      <c r="H3589" s="3"/>
      <c r="I3589" s="3"/>
    </row>
    <row r="3590" spans="1:9" x14ac:dyDescent="0.3">
      <c r="A3590" s="2"/>
      <c r="H3590" s="3"/>
      <c r="I3590" s="3"/>
    </row>
    <row r="3591" spans="1:9" x14ac:dyDescent="0.3">
      <c r="A3591" s="2"/>
      <c r="H3591" s="3"/>
      <c r="I3591" s="3"/>
    </row>
    <row r="3592" spans="1:9" x14ac:dyDescent="0.3">
      <c r="A3592" s="2"/>
      <c r="H3592" s="3"/>
      <c r="I3592" s="3"/>
    </row>
    <row r="3593" spans="1:9" x14ac:dyDescent="0.3">
      <c r="A3593" s="2"/>
      <c r="H3593" s="3"/>
      <c r="I3593" s="3"/>
    </row>
    <row r="3594" spans="1:9" x14ac:dyDescent="0.3">
      <c r="A3594" s="2"/>
      <c r="H3594" s="3"/>
      <c r="I3594" s="3"/>
    </row>
    <row r="3595" spans="1:9" x14ac:dyDescent="0.3">
      <c r="A3595" s="2"/>
      <c r="H3595" s="3"/>
      <c r="I3595" s="3"/>
    </row>
    <row r="3596" spans="1:9" x14ac:dyDescent="0.3">
      <c r="A3596" s="2"/>
      <c r="H3596" s="3"/>
      <c r="I3596" s="3"/>
    </row>
    <row r="3597" spans="1:9" x14ac:dyDescent="0.3">
      <c r="A3597" s="2"/>
      <c r="H3597" s="3"/>
      <c r="I3597" s="3"/>
    </row>
    <row r="3598" spans="1:9" x14ac:dyDescent="0.3">
      <c r="A3598" s="2"/>
      <c r="H3598" s="3"/>
      <c r="I3598" s="3"/>
    </row>
    <row r="3599" spans="1:9" x14ac:dyDescent="0.3">
      <c r="A3599" s="2"/>
      <c r="H3599" s="3"/>
      <c r="I3599" s="3"/>
    </row>
    <row r="3600" spans="1:9" x14ac:dyDescent="0.3">
      <c r="A3600" s="2"/>
      <c r="H3600" s="3"/>
      <c r="I3600" s="3"/>
    </row>
    <row r="3601" spans="1:9" x14ac:dyDescent="0.3">
      <c r="A3601" s="2"/>
      <c r="H3601" s="3"/>
      <c r="I3601" s="3"/>
    </row>
    <row r="3602" spans="1:9" x14ac:dyDescent="0.3">
      <c r="A3602" s="2"/>
      <c r="H3602" s="3"/>
      <c r="I3602" s="3"/>
    </row>
    <row r="3603" spans="1:9" x14ac:dyDescent="0.3">
      <c r="A3603" s="2"/>
      <c r="H3603" s="3"/>
      <c r="I3603" s="3"/>
    </row>
    <row r="3604" spans="1:9" x14ac:dyDescent="0.3">
      <c r="A3604" s="2"/>
      <c r="H3604" s="3"/>
      <c r="I3604" s="3"/>
    </row>
    <row r="3605" spans="1:9" x14ac:dyDescent="0.3">
      <c r="A3605" s="2"/>
      <c r="H3605" s="3"/>
      <c r="I3605" s="3"/>
    </row>
    <row r="3606" spans="1:9" x14ac:dyDescent="0.3">
      <c r="A3606" s="2"/>
      <c r="H3606" s="3"/>
      <c r="I3606" s="3"/>
    </row>
    <row r="3607" spans="1:9" x14ac:dyDescent="0.3">
      <c r="A3607" s="2"/>
      <c r="H3607" s="3"/>
      <c r="I3607" s="3"/>
    </row>
    <row r="3608" spans="1:9" x14ac:dyDescent="0.3">
      <c r="A3608" s="2"/>
      <c r="H3608" s="3"/>
      <c r="I3608" s="3"/>
    </row>
    <row r="3609" spans="1:9" x14ac:dyDescent="0.3">
      <c r="A3609" s="2"/>
      <c r="H3609" s="3"/>
      <c r="I3609" s="3"/>
    </row>
    <row r="3610" spans="1:9" x14ac:dyDescent="0.3">
      <c r="A3610" s="2"/>
      <c r="H3610" s="3"/>
      <c r="I3610" s="3"/>
    </row>
    <row r="3611" spans="1:9" x14ac:dyDescent="0.3">
      <c r="A3611" s="2"/>
      <c r="H3611" s="3"/>
      <c r="I3611" s="3"/>
    </row>
    <row r="3612" spans="1:9" x14ac:dyDescent="0.3">
      <c r="A3612" s="2"/>
      <c r="H3612" s="3"/>
      <c r="I3612" s="3"/>
    </row>
    <row r="3613" spans="1:9" x14ac:dyDescent="0.3">
      <c r="A3613" s="2"/>
      <c r="H3613" s="3"/>
      <c r="I3613" s="3"/>
    </row>
    <row r="3614" spans="1:9" x14ac:dyDescent="0.3">
      <c r="A3614" s="2"/>
      <c r="H3614" s="3"/>
      <c r="I3614" s="3"/>
    </row>
    <row r="3615" spans="1:9" x14ac:dyDescent="0.3">
      <c r="A3615" s="2"/>
      <c r="H3615" s="3"/>
      <c r="I3615" s="3"/>
    </row>
    <row r="3616" spans="1:9" x14ac:dyDescent="0.3">
      <c r="A3616" s="2"/>
      <c r="H3616" s="3"/>
      <c r="I3616" s="3"/>
    </row>
    <row r="3617" spans="1:9" x14ac:dyDescent="0.3">
      <c r="A3617" s="2"/>
      <c r="H3617" s="3"/>
      <c r="I3617" s="3"/>
    </row>
    <row r="3618" spans="1:9" x14ac:dyDescent="0.3">
      <c r="A3618" s="2"/>
      <c r="H3618" s="3"/>
      <c r="I3618" s="3"/>
    </row>
    <row r="3619" spans="1:9" x14ac:dyDescent="0.3">
      <c r="A3619" s="2"/>
      <c r="H3619" s="3"/>
      <c r="I3619" s="3"/>
    </row>
    <row r="3620" spans="1:9" x14ac:dyDescent="0.3">
      <c r="A3620" s="2"/>
      <c r="H3620" s="3"/>
      <c r="I3620" s="3"/>
    </row>
    <row r="3621" spans="1:9" x14ac:dyDescent="0.3">
      <c r="A3621" s="2"/>
      <c r="H3621" s="3"/>
      <c r="I3621" s="3"/>
    </row>
    <row r="3622" spans="1:9" x14ac:dyDescent="0.3">
      <c r="A3622" s="2"/>
      <c r="H3622" s="3"/>
      <c r="I3622" s="3"/>
    </row>
    <row r="3623" spans="1:9" x14ac:dyDescent="0.3">
      <c r="A3623" s="2"/>
      <c r="H3623" s="3"/>
      <c r="I3623" s="3"/>
    </row>
    <row r="3624" spans="1:9" x14ac:dyDescent="0.3">
      <c r="A3624" s="2"/>
      <c r="H3624" s="3"/>
      <c r="I3624" s="3"/>
    </row>
    <row r="3625" spans="1:9" x14ac:dyDescent="0.3">
      <c r="A3625" s="2"/>
      <c r="H3625" s="3"/>
      <c r="I3625" s="3"/>
    </row>
    <row r="3626" spans="1:9" x14ac:dyDescent="0.3">
      <c r="A3626" s="2"/>
      <c r="H3626" s="3"/>
      <c r="I3626" s="3"/>
    </row>
    <row r="3627" spans="1:9" x14ac:dyDescent="0.3">
      <c r="A3627" s="2"/>
      <c r="H3627" s="3"/>
      <c r="I3627" s="3"/>
    </row>
    <row r="3628" spans="1:9" x14ac:dyDescent="0.3">
      <c r="A3628" s="2"/>
      <c r="H3628" s="3"/>
      <c r="I3628" s="3"/>
    </row>
    <row r="3629" spans="1:9" x14ac:dyDescent="0.3">
      <c r="A3629" s="2"/>
      <c r="H3629" s="3"/>
      <c r="I3629" s="3"/>
    </row>
    <row r="3630" spans="1:9" x14ac:dyDescent="0.3">
      <c r="A3630" s="2"/>
      <c r="H3630" s="3"/>
      <c r="I3630" s="3"/>
    </row>
    <row r="3631" spans="1:9" x14ac:dyDescent="0.3">
      <c r="A3631" s="2"/>
      <c r="H3631" s="3"/>
      <c r="I3631" s="3"/>
    </row>
    <row r="3632" spans="1:9" x14ac:dyDescent="0.3">
      <c r="A3632" s="2"/>
      <c r="H3632" s="3"/>
      <c r="I3632" s="3"/>
    </row>
    <row r="3633" spans="1:9" x14ac:dyDescent="0.3">
      <c r="A3633" s="2"/>
      <c r="H3633" s="3"/>
      <c r="I3633" s="3"/>
    </row>
    <row r="3634" spans="1:9" x14ac:dyDescent="0.3">
      <c r="A3634" s="2"/>
      <c r="H3634" s="3"/>
      <c r="I3634" s="3"/>
    </row>
    <row r="3635" spans="1:9" x14ac:dyDescent="0.3">
      <c r="A3635" s="2"/>
      <c r="H3635" s="3"/>
      <c r="I3635" s="3"/>
    </row>
    <row r="3636" spans="1:9" x14ac:dyDescent="0.3">
      <c r="A3636" s="2"/>
      <c r="H3636" s="3"/>
      <c r="I3636" s="3"/>
    </row>
    <row r="3637" spans="1:9" x14ac:dyDescent="0.3">
      <c r="A3637" s="2"/>
      <c r="H3637" s="3"/>
      <c r="I3637" s="3"/>
    </row>
    <row r="3638" spans="1:9" x14ac:dyDescent="0.3">
      <c r="A3638" s="2"/>
      <c r="H3638" s="3"/>
      <c r="I3638" s="3"/>
    </row>
    <row r="3639" spans="1:9" x14ac:dyDescent="0.3">
      <c r="A3639" s="2"/>
      <c r="H3639" s="3"/>
      <c r="I3639" s="3"/>
    </row>
    <row r="3640" spans="1:9" x14ac:dyDescent="0.3">
      <c r="A3640" s="2"/>
      <c r="H3640" s="3"/>
      <c r="I3640" s="3"/>
    </row>
    <row r="3641" spans="1:9" x14ac:dyDescent="0.3">
      <c r="A3641" s="2"/>
      <c r="H3641" s="3"/>
      <c r="I3641" s="3"/>
    </row>
    <row r="3642" spans="1:9" x14ac:dyDescent="0.3">
      <c r="A3642" s="2"/>
      <c r="H3642" s="3"/>
      <c r="I3642" s="3"/>
    </row>
    <row r="3643" spans="1:9" x14ac:dyDescent="0.3">
      <c r="A3643" s="2"/>
      <c r="H3643" s="3"/>
      <c r="I3643" s="3"/>
    </row>
    <row r="3644" spans="1:9" x14ac:dyDescent="0.3">
      <c r="A3644" s="2"/>
      <c r="H3644" s="3"/>
      <c r="I3644" s="3"/>
    </row>
    <row r="3645" spans="1:9" x14ac:dyDescent="0.3">
      <c r="A3645" s="2"/>
      <c r="H3645" s="3"/>
      <c r="I3645" s="3"/>
    </row>
    <row r="3646" spans="1:9" x14ac:dyDescent="0.3">
      <c r="A3646" s="2"/>
      <c r="H3646" s="3"/>
      <c r="I3646" s="3"/>
    </row>
    <row r="3647" spans="1:9" x14ac:dyDescent="0.3">
      <c r="A3647" s="2"/>
      <c r="H3647" s="3"/>
      <c r="I3647" s="3"/>
    </row>
    <row r="3648" spans="1:9" x14ac:dyDescent="0.3">
      <c r="A3648" s="2"/>
      <c r="H3648" s="3"/>
      <c r="I3648" s="3"/>
    </row>
    <row r="3649" spans="1:9" x14ac:dyDescent="0.3">
      <c r="A3649" s="2"/>
      <c r="H3649" s="3"/>
      <c r="I3649" s="3"/>
    </row>
    <row r="3650" spans="1:9" x14ac:dyDescent="0.3">
      <c r="A3650" s="2"/>
      <c r="H3650" s="3"/>
      <c r="I3650" s="3"/>
    </row>
    <row r="3651" spans="1:9" x14ac:dyDescent="0.3">
      <c r="A3651" s="2"/>
      <c r="H3651" s="3"/>
      <c r="I3651" s="3"/>
    </row>
    <row r="3652" spans="1:9" x14ac:dyDescent="0.3">
      <c r="A3652" s="2"/>
      <c r="H3652" s="3"/>
      <c r="I3652" s="3"/>
    </row>
    <row r="3653" spans="1:9" x14ac:dyDescent="0.3">
      <c r="A3653" s="2"/>
      <c r="H3653" s="3"/>
      <c r="I3653" s="3"/>
    </row>
    <row r="3654" spans="1:9" x14ac:dyDescent="0.3">
      <c r="A3654" s="2"/>
      <c r="H3654" s="3"/>
      <c r="I3654" s="3"/>
    </row>
    <row r="3655" spans="1:9" x14ac:dyDescent="0.3">
      <c r="A3655" s="2"/>
      <c r="H3655" s="3"/>
      <c r="I3655" s="3"/>
    </row>
    <row r="3656" spans="1:9" x14ac:dyDescent="0.3">
      <c r="A3656" s="2"/>
      <c r="H3656" s="3"/>
      <c r="I3656" s="3"/>
    </row>
    <row r="3657" spans="1:9" x14ac:dyDescent="0.3">
      <c r="A3657" s="2"/>
      <c r="H3657" s="3"/>
      <c r="I3657" s="3"/>
    </row>
    <row r="3658" spans="1:9" x14ac:dyDescent="0.3">
      <c r="A3658" s="2"/>
      <c r="H3658" s="3"/>
      <c r="I3658" s="3"/>
    </row>
    <row r="3659" spans="1:9" x14ac:dyDescent="0.3">
      <c r="A3659" s="2"/>
      <c r="H3659" s="3"/>
      <c r="I3659" s="3"/>
    </row>
    <row r="3660" spans="1:9" x14ac:dyDescent="0.3">
      <c r="A3660" s="2"/>
      <c r="H3660" s="3"/>
      <c r="I3660" s="3"/>
    </row>
    <row r="3661" spans="1:9" x14ac:dyDescent="0.3">
      <c r="A3661" s="2"/>
      <c r="H3661" s="3"/>
      <c r="I3661" s="3"/>
    </row>
    <row r="3662" spans="1:9" x14ac:dyDescent="0.3">
      <c r="A3662" s="2"/>
      <c r="H3662" s="3"/>
      <c r="I3662" s="3"/>
    </row>
    <row r="3663" spans="1:9" x14ac:dyDescent="0.3">
      <c r="A3663" s="2"/>
      <c r="H3663" s="3"/>
      <c r="I3663" s="3"/>
    </row>
    <row r="3664" spans="1:9" x14ac:dyDescent="0.3">
      <c r="A3664" s="2"/>
      <c r="H3664" s="3"/>
      <c r="I3664" s="3"/>
    </row>
    <row r="3665" spans="1:9" x14ac:dyDescent="0.3">
      <c r="A3665" s="2"/>
      <c r="H3665" s="3"/>
      <c r="I3665" s="3"/>
    </row>
    <row r="3666" spans="1:9" x14ac:dyDescent="0.3">
      <c r="A3666" s="2"/>
      <c r="H3666" s="3"/>
      <c r="I3666" s="3"/>
    </row>
    <row r="3667" spans="1:9" x14ac:dyDescent="0.3">
      <c r="A3667" s="2"/>
      <c r="H3667" s="3"/>
      <c r="I3667" s="3"/>
    </row>
    <row r="3668" spans="1:9" x14ac:dyDescent="0.3">
      <c r="A3668" s="2"/>
      <c r="H3668" s="3"/>
      <c r="I3668" s="3"/>
    </row>
    <row r="3669" spans="1:9" x14ac:dyDescent="0.3">
      <c r="A3669" s="2"/>
      <c r="H3669" s="3"/>
      <c r="I3669" s="3"/>
    </row>
    <row r="3670" spans="1:9" x14ac:dyDescent="0.3">
      <c r="A3670" s="2"/>
      <c r="H3670" s="3"/>
      <c r="I3670" s="3"/>
    </row>
    <row r="3671" spans="1:9" x14ac:dyDescent="0.3">
      <c r="A3671" s="2"/>
      <c r="H3671" s="3"/>
      <c r="I3671" s="3"/>
    </row>
    <row r="3672" spans="1:9" x14ac:dyDescent="0.3">
      <c r="A3672" s="2"/>
      <c r="H3672" s="3"/>
      <c r="I3672" s="3"/>
    </row>
    <row r="3673" spans="1:9" x14ac:dyDescent="0.3">
      <c r="A3673" s="2"/>
      <c r="H3673" s="3"/>
      <c r="I3673" s="3"/>
    </row>
    <row r="3674" spans="1:9" x14ac:dyDescent="0.3">
      <c r="A3674" s="2"/>
      <c r="H3674" s="3"/>
      <c r="I3674" s="3"/>
    </row>
    <row r="3675" spans="1:9" x14ac:dyDescent="0.3">
      <c r="A3675" s="2"/>
      <c r="H3675" s="3"/>
      <c r="I3675" s="3"/>
    </row>
    <row r="3676" spans="1:9" x14ac:dyDescent="0.3">
      <c r="A3676" s="2"/>
      <c r="H3676" s="3"/>
      <c r="I3676" s="3"/>
    </row>
    <row r="3677" spans="1:9" x14ac:dyDescent="0.3">
      <c r="A3677" s="2"/>
      <c r="H3677" s="3"/>
      <c r="I3677" s="3"/>
    </row>
    <row r="3678" spans="1:9" x14ac:dyDescent="0.3">
      <c r="A3678" s="2"/>
      <c r="H3678" s="3"/>
      <c r="I3678" s="3"/>
    </row>
    <row r="3679" spans="1:9" x14ac:dyDescent="0.3">
      <c r="A3679" s="2"/>
      <c r="H3679" s="3"/>
      <c r="I3679" s="3"/>
    </row>
    <row r="3680" spans="1:9" x14ac:dyDescent="0.3">
      <c r="A3680" s="2"/>
      <c r="H3680" s="3"/>
      <c r="I3680" s="3"/>
    </row>
    <row r="3681" spans="1:9" x14ac:dyDescent="0.3">
      <c r="A3681" s="2"/>
      <c r="H3681" s="3"/>
      <c r="I3681" s="3"/>
    </row>
    <row r="3682" spans="1:9" x14ac:dyDescent="0.3">
      <c r="A3682" s="2"/>
      <c r="H3682" s="3"/>
      <c r="I3682" s="3"/>
    </row>
    <row r="3683" spans="1:9" x14ac:dyDescent="0.3">
      <c r="A3683" s="2"/>
      <c r="H3683" s="3"/>
      <c r="I3683" s="3"/>
    </row>
    <row r="3684" spans="1:9" x14ac:dyDescent="0.3">
      <c r="A3684" s="2"/>
      <c r="H3684" s="3"/>
      <c r="I3684" s="3"/>
    </row>
    <row r="3685" spans="1:9" x14ac:dyDescent="0.3">
      <c r="A3685" s="2"/>
      <c r="H3685" s="3"/>
      <c r="I3685" s="3"/>
    </row>
    <row r="3686" spans="1:9" x14ac:dyDescent="0.3">
      <c r="A3686" s="2"/>
      <c r="H3686" s="3"/>
      <c r="I3686" s="3"/>
    </row>
    <row r="3687" spans="1:9" x14ac:dyDescent="0.3">
      <c r="A3687" s="2"/>
      <c r="H3687" s="3"/>
      <c r="I3687" s="3"/>
    </row>
    <row r="3688" spans="1:9" x14ac:dyDescent="0.3">
      <c r="A3688" s="2"/>
      <c r="H3688" s="3"/>
      <c r="I3688" s="3"/>
    </row>
    <row r="3689" spans="1:9" x14ac:dyDescent="0.3">
      <c r="A3689" s="2"/>
      <c r="H3689" s="3"/>
      <c r="I3689" s="3"/>
    </row>
    <row r="3690" spans="1:9" x14ac:dyDescent="0.3">
      <c r="A3690" s="2"/>
      <c r="H3690" s="3"/>
      <c r="I3690" s="3"/>
    </row>
    <row r="3691" spans="1:9" x14ac:dyDescent="0.3">
      <c r="A3691" s="2"/>
      <c r="H3691" s="3"/>
      <c r="I3691" s="3"/>
    </row>
    <row r="3692" spans="1:9" x14ac:dyDescent="0.3">
      <c r="A3692" s="2"/>
      <c r="H3692" s="3"/>
      <c r="I3692" s="3"/>
    </row>
    <row r="3693" spans="1:9" x14ac:dyDescent="0.3">
      <c r="A3693" s="2"/>
      <c r="H3693" s="3"/>
      <c r="I3693" s="3"/>
    </row>
    <row r="3694" spans="1:9" x14ac:dyDescent="0.3">
      <c r="A3694" s="2"/>
      <c r="H3694" s="3"/>
      <c r="I3694" s="3"/>
    </row>
    <row r="3695" spans="1:9" x14ac:dyDescent="0.3">
      <c r="A3695" s="2"/>
      <c r="H3695" s="3"/>
      <c r="I3695" s="3"/>
    </row>
    <row r="3696" spans="1:9" x14ac:dyDescent="0.3">
      <c r="A3696" s="2"/>
      <c r="H3696" s="3"/>
      <c r="I3696" s="3"/>
    </row>
    <row r="3697" spans="1:9" x14ac:dyDescent="0.3">
      <c r="A3697" s="2"/>
      <c r="H3697" s="3"/>
      <c r="I3697" s="3"/>
    </row>
    <row r="3698" spans="1:9" x14ac:dyDescent="0.3">
      <c r="A3698" s="2"/>
      <c r="H3698" s="3"/>
      <c r="I3698" s="3"/>
    </row>
    <row r="3699" spans="1:9" x14ac:dyDescent="0.3">
      <c r="A3699" s="2"/>
      <c r="H3699" s="3"/>
      <c r="I3699" s="3"/>
    </row>
    <row r="3700" spans="1:9" x14ac:dyDescent="0.3">
      <c r="A3700" s="2"/>
      <c r="H3700" s="3"/>
      <c r="I3700" s="3"/>
    </row>
    <row r="3701" spans="1:9" x14ac:dyDescent="0.3">
      <c r="A3701" s="2"/>
      <c r="H3701" s="3"/>
      <c r="I3701" s="3"/>
    </row>
    <row r="3702" spans="1:9" x14ac:dyDescent="0.3">
      <c r="A3702" s="2"/>
      <c r="H3702" s="3"/>
      <c r="I3702" s="3"/>
    </row>
    <row r="3703" spans="1:9" x14ac:dyDescent="0.3">
      <c r="A3703" s="2"/>
      <c r="H3703" s="3"/>
      <c r="I3703" s="3"/>
    </row>
    <row r="3704" spans="1:9" x14ac:dyDescent="0.3">
      <c r="A3704" s="2"/>
      <c r="H3704" s="3"/>
      <c r="I3704" s="3"/>
    </row>
    <row r="3705" spans="1:9" x14ac:dyDescent="0.3">
      <c r="A3705" s="2"/>
      <c r="H3705" s="3"/>
      <c r="I3705" s="3"/>
    </row>
    <row r="3706" spans="1:9" x14ac:dyDescent="0.3">
      <c r="A3706" s="2"/>
      <c r="H3706" s="3"/>
      <c r="I3706" s="3"/>
    </row>
    <row r="3707" spans="1:9" x14ac:dyDescent="0.3">
      <c r="A3707" s="2"/>
      <c r="H3707" s="3"/>
      <c r="I3707" s="3"/>
    </row>
    <row r="3708" spans="1:9" x14ac:dyDescent="0.3">
      <c r="A3708" s="2"/>
      <c r="H3708" s="3"/>
      <c r="I3708" s="3"/>
    </row>
    <row r="3709" spans="1:9" x14ac:dyDescent="0.3">
      <c r="A3709" s="2"/>
      <c r="H3709" s="3"/>
      <c r="I3709" s="3"/>
    </row>
    <row r="3710" spans="1:9" x14ac:dyDescent="0.3">
      <c r="A3710" s="2"/>
      <c r="H3710" s="3"/>
      <c r="I3710" s="3"/>
    </row>
    <row r="3711" spans="1:9" x14ac:dyDescent="0.3">
      <c r="A3711" s="2"/>
      <c r="H3711" s="3"/>
      <c r="I3711" s="3"/>
    </row>
    <row r="3712" spans="1:9" x14ac:dyDescent="0.3">
      <c r="A3712" s="2"/>
      <c r="H3712" s="3"/>
      <c r="I3712" s="3"/>
    </row>
    <row r="3713" spans="1:9" x14ac:dyDescent="0.3">
      <c r="A3713" s="2"/>
      <c r="H3713" s="3"/>
      <c r="I3713" s="3"/>
    </row>
    <row r="3714" spans="1:9" x14ac:dyDescent="0.3">
      <c r="A3714" s="2"/>
      <c r="H3714" s="3"/>
      <c r="I3714" s="3"/>
    </row>
    <row r="3715" spans="1:9" x14ac:dyDescent="0.3">
      <c r="A3715" s="2"/>
      <c r="H3715" s="3"/>
      <c r="I3715" s="3"/>
    </row>
    <row r="3716" spans="1:9" x14ac:dyDescent="0.3">
      <c r="A3716" s="2"/>
      <c r="H3716" s="3"/>
      <c r="I3716" s="3"/>
    </row>
    <row r="3717" spans="1:9" x14ac:dyDescent="0.3">
      <c r="A3717" s="2"/>
      <c r="H3717" s="3"/>
      <c r="I3717" s="3"/>
    </row>
    <row r="3718" spans="1:9" x14ac:dyDescent="0.3">
      <c r="A3718" s="2"/>
      <c r="H3718" s="3"/>
      <c r="I3718" s="3"/>
    </row>
    <row r="3719" spans="1:9" x14ac:dyDescent="0.3">
      <c r="A3719" s="2"/>
      <c r="H3719" s="3"/>
      <c r="I3719" s="3"/>
    </row>
    <row r="3720" spans="1:9" x14ac:dyDescent="0.3">
      <c r="A3720" s="2"/>
      <c r="H3720" s="3"/>
      <c r="I3720" s="3"/>
    </row>
    <row r="3721" spans="1:9" x14ac:dyDescent="0.3">
      <c r="A3721" s="2"/>
      <c r="H3721" s="3"/>
      <c r="I3721" s="3"/>
    </row>
    <row r="3722" spans="1:9" x14ac:dyDescent="0.3">
      <c r="A3722" s="2"/>
      <c r="H3722" s="3"/>
      <c r="I3722" s="3"/>
    </row>
    <row r="3723" spans="1:9" x14ac:dyDescent="0.3">
      <c r="A3723" s="2"/>
      <c r="H3723" s="3"/>
      <c r="I3723" s="3"/>
    </row>
    <row r="3724" spans="1:9" x14ac:dyDescent="0.3">
      <c r="A3724" s="2"/>
      <c r="H3724" s="3"/>
      <c r="I3724" s="3"/>
    </row>
    <row r="3725" spans="1:9" x14ac:dyDescent="0.3">
      <c r="A3725" s="2"/>
      <c r="H3725" s="3"/>
      <c r="I3725" s="3"/>
    </row>
    <row r="3726" spans="1:9" x14ac:dyDescent="0.3">
      <c r="A3726" s="2"/>
      <c r="H3726" s="3"/>
      <c r="I3726" s="3"/>
    </row>
    <row r="3727" spans="1:9" x14ac:dyDescent="0.3">
      <c r="A3727" s="2"/>
      <c r="H3727" s="3"/>
      <c r="I3727" s="3"/>
    </row>
    <row r="3728" spans="1:9" x14ac:dyDescent="0.3">
      <c r="A3728" s="2"/>
      <c r="H3728" s="3"/>
      <c r="I3728" s="3"/>
    </row>
    <row r="3729" spans="1:9" x14ac:dyDescent="0.3">
      <c r="A3729" s="2"/>
      <c r="H3729" s="3"/>
      <c r="I3729" s="3"/>
    </row>
    <row r="3730" spans="1:9" x14ac:dyDescent="0.3">
      <c r="A3730" s="2"/>
      <c r="H3730" s="3"/>
      <c r="I3730" s="3"/>
    </row>
    <row r="3731" spans="1:9" x14ac:dyDescent="0.3">
      <c r="A3731" s="2"/>
      <c r="H3731" s="3"/>
      <c r="I3731" s="3"/>
    </row>
    <row r="3732" spans="1:9" x14ac:dyDescent="0.3">
      <c r="A3732" s="2"/>
      <c r="H3732" s="3"/>
      <c r="I3732" s="3"/>
    </row>
    <row r="3733" spans="1:9" x14ac:dyDescent="0.3">
      <c r="A3733" s="2"/>
      <c r="H3733" s="3"/>
      <c r="I3733" s="3"/>
    </row>
    <row r="3734" spans="1:9" x14ac:dyDescent="0.3">
      <c r="A3734" s="2"/>
      <c r="H3734" s="3"/>
      <c r="I3734" s="3"/>
    </row>
    <row r="3735" spans="1:9" x14ac:dyDescent="0.3">
      <c r="A3735" s="2"/>
      <c r="H3735" s="3"/>
      <c r="I3735" s="3"/>
    </row>
    <row r="3736" spans="1:9" x14ac:dyDescent="0.3">
      <c r="A3736" s="2"/>
      <c r="H3736" s="3"/>
      <c r="I3736" s="3"/>
    </row>
    <row r="3737" spans="1:9" x14ac:dyDescent="0.3">
      <c r="A3737" s="2"/>
      <c r="H3737" s="3"/>
      <c r="I3737" s="3"/>
    </row>
    <row r="3738" spans="1:9" x14ac:dyDescent="0.3">
      <c r="A3738" s="2"/>
      <c r="H3738" s="3"/>
      <c r="I3738" s="3"/>
    </row>
    <row r="3739" spans="1:9" x14ac:dyDescent="0.3">
      <c r="A3739" s="2"/>
      <c r="H3739" s="3"/>
      <c r="I3739" s="3"/>
    </row>
    <row r="3740" spans="1:9" x14ac:dyDescent="0.3">
      <c r="A3740" s="2"/>
      <c r="H3740" s="3"/>
      <c r="I3740" s="3"/>
    </row>
    <row r="3741" spans="1:9" x14ac:dyDescent="0.3">
      <c r="A3741" s="2"/>
      <c r="H3741" s="3"/>
      <c r="I3741" s="3"/>
    </row>
    <row r="3742" spans="1:9" x14ac:dyDescent="0.3">
      <c r="A3742" s="2"/>
      <c r="H3742" s="3"/>
      <c r="I3742" s="3"/>
    </row>
    <row r="3743" spans="1:9" x14ac:dyDescent="0.3">
      <c r="A3743" s="2"/>
      <c r="H3743" s="3"/>
      <c r="I3743" s="3"/>
    </row>
    <row r="3744" spans="1:9" x14ac:dyDescent="0.3">
      <c r="A3744" s="2"/>
      <c r="H3744" s="3"/>
      <c r="I3744" s="3"/>
    </row>
    <row r="3745" spans="1:9" x14ac:dyDescent="0.3">
      <c r="A3745" s="2"/>
      <c r="H3745" s="3"/>
      <c r="I3745" s="3"/>
    </row>
    <row r="3746" spans="1:9" x14ac:dyDescent="0.3">
      <c r="A3746" s="2"/>
      <c r="H3746" s="3"/>
      <c r="I3746" s="3"/>
    </row>
    <row r="3747" spans="1:9" x14ac:dyDescent="0.3">
      <c r="A3747" s="2"/>
      <c r="H3747" s="3"/>
      <c r="I3747" s="3"/>
    </row>
    <row r="3748" spans="1:9" x14ac:dyDescent="0.3">
      <c r="A3748" s="2"/>
      <c r="H3748" s="3"/>
      <c r="I3748" s="3"/>
    </row>
    <row r="3749" spans="1:9" x14ac:dyDescent="0.3">
      <c r="A3749" s="2"/>
      <c r="H3749" s="3"/>
      <c r="I3749" s="3"/>
    </row>
    <row r="3750" spans="1:9" x14ac:dyDescent="0.3">
      <c r="A3750" s="2"/>
      <c r="H3750" s="3"/>
      <c r="I3750" s="3"/>
    </row>
    <row r="3751" spans="1:9" x14ac:dyDescent="0.3">
      <c r="A3751" s="2"/>
      <c r="H3751" s="3"/>
      <c r="I3751" s="3"/>
    </row>
    <row r="3752" spans="1:9" x14ac:dyDescent="0.3">
      <c r="A3752" s="2"/>
      <c r="H3752" s="3"/>
      <c r="I3752" s="3"/>
    </row>
    <row r="3753" spans="1:9" x14ac:dyDescent="0.3">
      <c r="A3753" s="2"/>
      <c r="H3753" s="3"/>
      <c r="I3753" s="3"/>
    </row>
    <row r="3754" spans="1:9" x14ac:dyDescent="0.3">
      <c r="A3754" s="2"/>
      <c r="H3754" s="3"/>
      <c r="I3754" s="3"/>
    </row>
    <row r="3755" spans="1:9" x14ac:dyDescent="0.3">
      <c r="A3755" s="2"/>
      <c r="H3755" s="3"/>
      <c r="I3755" s="3"/>
    </row>
    <row r="3756" spans="1:9" x14ac:dyDescent="0.3">
      <c r="A3756" s="2"/>
      <c r="H3756" s="3"/>
      <c r="I3756" s="3"/>
    </row>
    <row r="3757" spans="1:9" x14ac:dyDescent="0.3">
      <c r="A3757" s="2"/>
      <c r="H3757" s="3"/>
      <c r="I3757" s="3"/>
    </row>
    <row r="3758" spans="1:9" x14ac:dyDescent="0.3">
      <c r="A3758" s="2"/>
      <c r="H3758" s="3"/>
      <c r="I3758" s="3"/>
    </row>
    <row r="3759" spans="1:9" x14ac:dyDescent="0.3">
      <c r="A3759" s="2"/>
      <c r="H3759" s="3"/>
      <c r="I3759" s="3"/>
    </row>
    <row r="3760" spans="1:9" x14ac:dyDescent="0.3">
      <c r="A3760" s="2"/>
      <c r="H3760" s="3"/>
      <c r="I3760" s="3"/>
    </row>
    <row r="3761" spans="1:9" x14ac:dyDescent="0.3">
      <c r="A3761" s="2"/>
      <c r="H3761" s="3"/>
      <c r="I3761" s="3"/>
    </row>
    <row r="3762" spans="1:9" x14ac:dyDescent="0.3">
      <c r="A3762" s="2"/>
      <c r="H3762" s="3"/>
      <c r="I3762" s="3"/>
    </row>
    <row r="3763" spans="1:9" x14ac:dyDescent="0.3">
      <c r="A3763" s="2"/>
      <c r="H3763" s="3"/>
      <c r="I3763" s="3"/>
    </row>
    <row r="3764" spans="1:9" x14ac:dyDescent="0.3">
      <c r="A3764" s="2"/>
      <c r="H3764" s="3"/>
      <c r="I3764" s="3"/>
    </row>
    <row r="3765" spans="1:9" x14ac:dyDescent="0.3">
      <c r="A3765" s="2"/>
      <c r="H3765" s="3"/>
      <c r="I3765" s="3"/>
    </row>
    <row r="3766" spans="1:9" x14ac:dyDescent="0.3">
      <c r="A3766" s="2"/>
      <c r="H3766" s="3"/>
      <c r="I3766" s="3"/>
    </row>
    <row r="3767" spans="1:9" x14ac:dyDescent="0.3">
      <c r="A3767" s="2"/>
      <c r="H3767" s="3"/>
      <c r="I3767" s="3"/>
    </row>
    <row r="3768" spans="1:9" x14ac:dyDescent="0.3">
      <c r="A3768" s="2"/>
      <c r="H3768" s="3"/>
      <c r="I3768" s="3"/>
    </row>
    <row r="3769" spans="1:9" x14ac:dyDescent="0.3">
      <c r="A3769" s="2"/>
      <c r="H3769" s="3"/>
      <c r="I3769" s="3"/>
    </row>
    <row r="3770" spans="1:9" x14ac:dyDescent="0.3">
      <c r="A3770" s="2"/>
      <c r="H3770" s="3"/>
      <c r="I3770" s="3"/>
    </row>
    <row r="3771" spans="1:9" x14ac:dyDescent="0.3">
      <c r="A3771" s="2"/>
      <c r="H3771" s="3"/>
      <c r="I3771" s="3"/>
    </row>
    <row r="3772" spans="1:9" x14ac:dyDescent="0.3">
      <c r="A3772" s="2"/>
      <c r="H3772" s="3"/>
      <c r="I3772" s="3"/>
    </row>
    <row r="3773" spans="1:9" x14ac:dyDescent="0.3">
      <c r="A3773" s="2"/>
      <c r="H3773" s="3"/>
      <c r="I3773" s="3"/>
    </row>
    <row r="3774" spans="1:9" x14ac:dyDescent="0.3">
      <c r="A3774" s="2"/>
      <c r="H3774" s="3"/>
      <c r="I3774" s="3"/>
    </row>
    <row r="3775" spans="1:9" x14ac:dyDescent="0.3">
      <c r="A3775" s="2"/>
      <c r="H3775" s="3"/>
      <c r="I3775" s="3"/>
    </row>
    <row r="3776" spans="1:9" x14ac:dyDescent="0.3">
      <c r="A3776" s="2"/>
      <c r="H3776" s="3"/>
      <c r="I3776" s="3"/>
    </row>
    <row r="3777" spans="1:9" x14ac:dyDescent="0.3">
      <c r="A3777" s="2"/>
      <c r="H3777" s="3"/>
      <c r="I3777" s="3"/>
    </row>
    <row r="3778" spans="1:9" x14ac:dyDescent="0.3">
      <c r="A3778" s="2"/>
      <c r="H3778" s="3"/>
      <c r="I3778" s="3"/>
    </row>
    <row r="3779" spans="1:9" x14ac:dyDescent="0.3">
      <c r="A3779" s="2"/>
      <c r="H3779" s="3"/>
      <c r="I3779" s="3"/>
    </row>
    <row r="3780" spans="1:9" x14ac:dyDescent="0.3">
      <c r="A3780" s="2"/>
      <c r="H3780" s="3"/>
      <c r="I3780" s="3"/>
    </row>
    <row r="3781" spans="1:9" x14ac:dyDescent="0.3">
      <c r="A3781" s="2"/>
      <c r="H3781" s="3"/>
      <c r="I3781" s="3"/>
    </row>
    <row r="3782" spans="1:9" x14ac:dyDescent="0.3">
      <c r="A3782" s="2"/>
      <c r="H3782" s="3"/>
      <c r="I3782" s="3"/>
    </row>
    <row r="3783" spans="1:9" x14ac:dyDescent="0.3">
      <c r="A3783" s="2"/>
      <c r="H3783" s="3"/>
      <c r="I3783" s="3"/>
    </row>
    <row r="3784" spans="1:9" x14ac:dyDescent="0.3">
      <c r="A3784" s="2"/>
      <c r="H3784" s="3"/>
      <c r="I3784" s="3"/>
    </row>
    <row r="3785" spans="1:9" x14ac:dyDescent="0.3">
      <c r="A3785" s="2"/>
      <c r="H3785" s="3"/>
      <c r="I3785" s="3"/>
    </row>
    <row r="3786" spans="1:9" x14ac:dyDescent="0.3">
      <c r="A3786" s="2"/>
      <c r="H3786" s="3"/>
      <c r="I3786" s="3"/>
    </row>
    <row r="3787" spans="1:9" x14ac:dyDescent="0.3">
      <c r="A3787" s="2"/>
      <c r="H3787" s="3"/>
      <c r="I3787" s="3"/>
    </row>
    <row r="3788" spans="1:9" x14ac:dyDescent="0.3">
      <c r="A3788" s="2"/>
      <c r="H3788" s="3"/>
      <c r="I3788" s="3"/>
    </row>
    <row r="3789" spans="1:9" x14ac:dyDescent="0.3">
      <c r="A3789" s="2"/>
      <c r="H3789" s="3"/>
      <c r="I3789" s="3"/>
    </row>
    <row r="3790" spans="1:9" x14ac:dyDescent="0.3">
      <c r="A3790" s="2"/>
      <c r="H3790" s="3"/>
      <c r="I3790" s="3"/>
    </row>
    <row r="3791" spans="1:9" x14ac:dyDescent="0.3">
      <c r="A3791" s="2"/>
      <c r="H3791" s="3"/>
      <c r="I3791" s="3"/>
    </row>
    <row r="3792" spans="1:9" x14ac:dyDescent="0.3">
      <c r="A3792" s="2"/>
      <c r="H3792" s="3"/>
      <c r="I3792" s="3"/>
    </row>
    <row r="3793" spans="1:9" x14ac:dyDescent="0.3">
      <c r="A3793" s="2"/>
      <c r="H3793" s="3"/>
      <c r="I3793" s="3"/>
    </row>
    <row r="3794" spans="1:9" x14ac:dyDescent="0.3">
      <c r="A3794" s="2"/>
      <c r="H3794" s="3"/>
      <c r="I3794" s="3"/>
    </row>
    <row r="3795" spans="1:9" x14ac:dyDescent="0.3">
      <c r="A3795" s="2"/>
      <c r="H3795" s="3"/>
      <c r="I3795" s="3"/>
    </row>
    <row r="3796" spans="1:9" x14ac:dyDescent="0.3">
      <c r="A3796" s="2"/>
      <c r="H3796" s="3"/>
      <c r="I3796" s="3"/>
    </row>
    <row r="3797" spans="1:9" x14ac:dyDescent="0.3">
      <c r="A3797" s="2"/>
      <c r="H3797" s="3"/>
      <c r="I3797" s="3"/>
    </row>
    <row r="3798" spans="1:9" x14ac:dyDescent="0.3">
      <c r="A3798" s="2"/>
      <c r="H3798" s="3"/>
      <c r="I3798" s="3"/>
    </row>
    <row r="3799" spans="1:9" x14ac:dyDescent="0.3">
      <c r="A3799" s="2"/>
      <c r="H3799" s="3"/>
      <c r="I3799" s="3"/>
    </row>
    <row r="3800" spans="1:9" x14ac:dyDescent="0.3">
      <c r="A3800" s="2"/>
      <c r="H3800" s="3"/>
      <c r="I3800" s="3"/>
    </row>
    <row r="3801" spans="1:9" x14ac:dyDescent="0.3">
      <c r="A3801" s="2"/>
      <c r="H3801" s="3"/>
      <c r="I3801" s="3"/>
    </row>
    <row r="3802" spans="1:9" x14ac:dyDescent="0.3">
      <c r="A3802" s="2"/>
      <c r="H3802" s="3"/>
      <c r="I3802" s="3"/>
    </row>
    <row r="3803" spans="1:9" x14ac:dyDescent="0.3">
      <c r="A3803" s="2"/>
      <c r="H3803" s="3"/>
      <c r="I3803" s="3"/>
    </row>
    <row r="3804" spans="1:9" x14ac:dyDescent="0.3">
      <c r="A3804" s="2"/>
      <c r="H3804" s="3"/>
      <c r="I3804" s="3"/>
    </row>
    <row r="3805" spans="1:9" x14ac:dyDescent="0.3">
      <c r="A3805" s="2"/>
      <c r="H3805" s="3"/>
      <c r="I3805" s="3"/>
    </row>
    <row r="3806" spans="1:9" x14ac:dyDescent="0.3">
      <c r="A3806" s="2"/>
      <c r="H3806" s="3"/>
      <c r="I3806" s="3"/>
    </row>
    <row r="3807" spans="1:9" x14ac:dyDescent="0.3">
      <c r="A3807" s="2"/>
      <c r="H3807" s="3"/>
      <c r="I3807" s="3"/>
    </row>
    <row r="3808" spans="1:9" x14ac:dyDescent="0.3">
      <c r="A3808" s="2"/>
      <c r="H3808" s="3"/>
      <c r="I3808" s="3"/>
    </row>
    <row r="3809" spans="1:9" x14ac:dyDescent="0.3">
      <c r="A3809" s="2"/>
      <c r="H3809" s="3"/>
      <c r="I3809" s="3"/>
    </row>
    <row r="3810" spans="1:9" x14ac:dyDescent="0.3">
      <c r="A3810" s="2"/>
      <c r="H3810" s="3"/>
      <c r="I3810" s="3"/>
    </row>
    <row r="3811" spans="1:9" x14ac:dyDescent="0.3">
      <c r="A3811" s="2"/>
      <c r="H3811" s="3"/>
      <c r="I3811" s="3"/>
    </row>
    <row r="3812" spans="1:9" x14ac:dyDescent="0.3">
      <c r="A3812" s="2"/>
      <c r="H3812" s="3"/>
      <c r="I3812" s="3"/>
    </row>
    <row r="3813" spans="1:9" x14ac:dyDescent="0.3">
      <c r="A3813" s="2"/>
      <c r="H3813" s="3"/>
      <c r="I3813" s="3"/>
    </row>
    <row r="3814" spans="1:9" x14ac:dyDescent="0.3">
      <c r="A3814" s="2"/>
      <c r="H3814" s="3"/>
      <c r="I3814" s="3"/>
    </row>
    <row r="3815" spans="1:9" x14ac:dyDescent="0.3">
      <c r="A3815" s="2"/>
      <c r="H3815" s="3"/>
      <c r="I3815" s="3"/>
    </row>
    <row r="3816" spans="1:9" x14ac:dyDescent="0.3">
      <c r="A3816" s="2"/>
      <c r="H3816" s="3"/>
      <c r="I3816" s="3"/>
    </row>
    <row r="3817" spans="1:9" x14ac:dyDescent="0.3">
      <c r="A3817" s="2"/>
      <c r="H3817" s="3"/>
      <c r="I3817" s="3"/>
    </row>
    <row r="3818" spans="1:9" x14ac:dyDescent="0.3">
      <c r="A3818" s="2"/>
      <c r="H3818" s="3"/>
      <c r="I3818" s="3"/>
    </row>
    <row r="3819" spans="1:9" x14ac:dyDescent="0.3">
      <c r="A3819" s="2"/>
      <c r="H3819" s="3"/>
      <c r="I3819" s="3"/>
    </row>
    <row r="3820" spans="1:9" x14ac:dyDescent="0.3">
      <c r="A3820" s="2"/>
      <c r="H3820" s="3"/>
      <c r="I3820" s="3"/>
    </row>
    <row r="3821" spans="1:9" x14ac:dyDescent="0.3">
      <c r="A3821" s="2"/>
      <c r="H3821" s="3"/>
      <c r="I3821" s="3"/>
    </row>
    <row r="3822" spans="1:9" x14ac:dyDescent="0.3">
      <c r="A3822" s="2"/>
      <c r="H3822" s="3"/>
      <c r="I3822" s="3"/>
    </row>
    <row r="3823" spans="1:9" x14ac:dyDescent="0.3">
      <c r="A3823" s="2"/>
      <c r="H3823" s="3"/>
      <c r="I3823" s="3"/>
    </row>
    <row r="3824" spans="1:9" x14ac:dyDescent="0.3">
      <c r="A3824" s="2"/>
      <c r="H3824" s="3"/>
      <c r="I3824" s="3"/>
    </row>
    <row r="3825" spans="1:9" x14ac:dyDescent="0.3">
      <c r="A3825" s="2"/>
      <c r="H3825" s="3"/>
      <c r="I3825" s="3"/>
    </row>
    <row r="3826" spans="1:9" x14ac:dyDescent="0.3">
      <c r="A3826" s="2"/>
      <c r="H3826" s="3"/>
      <c r="I3826" s="3"/>
    </row>
    <row r="3827" spans="1:9" x14ac:dyDescent="0.3">
      <c r="A3827" s="2"/>
      <c r="H3827" s="3"/>
      <c r="I3827" s="3"/>
    </row>
    <row r="3828" spans="1:9" x14ac:dyDescent="0.3">
      <c r="A3828" s="2"/>
      <c r="H3828" s="3"/>
      <c r="I3828" s="3"/>
    </row>
    <row r="3829" spans="1:9" x14ac:dyDescent="0.3">
      <c r="A3829" s="2"/>
      <c r="H3829" s="3"/>
      <c r="I3829" s="3"/>
    </row>
    <row r="3830" spans="1:9" x14ac:dyDescent="0.3">
      <c r="A3830" s="2"/>
      <c r="H3830" s="3"/>
      <c r="I3830" s="3"/>
    </row>
    <row r="3831" spans="1:9" x14ac:dyDescent="0.3">
      <c r="A3831" s="2"/>
      <c r="H3831" s="3"/>
      <c r="I3831" s="3"/>
    </row>
    <row r="3832" spans="1:9" x14ac:dyDescent="0.3">
      <c r="A3832" s="2"/>
      <c r="H3832" s="3"/>
      <c r="I3832" s="3"/>
    </row>
    <row r="3833" spans="1:9" x14ac:dyDescent="0.3">
      <c r="A3833" s="2"/>
      <c r="H3833" s="3"/>
      <c r="I3833" s="3"/>
    </row>
    <row r="3834" spans="1:9" x14ac:dyDescent="0.3">
      <c r="A3834" s="2"/>
      <c r="H3834" s="3"/>
      <c r="I3834" s="3"/>
    </row>
    <row r="3835" spans="1:9" x14ac:dyDescent="0.3">
      <c r="A3835" s="2"/>
      <c r="H3835" s="3"/>
      <c r="I3835" s="3"/>
    </row>
    <row r="3836" spans="1:9" x14ac:dyDescent="0.3">
      <c r="A3836" s="2"/>
      <c r="H3836" s="3"/>
      <c r="I3836" s="3"/>
    </row>
    <row r="3837" spans="1:9" x14ac:dyDescent="0.3">
      <c r="A3837" s="2"/>
      <c r="H3837" s="3"/>
      <c r="I3837" s="3"/>
    </row>
    <row r="3838" spans="1:9" x14ac:dyDescent="0.3">
      <c r="A3838" s="2"/>
      <c r="H3838" s="3"/>
      <c r="I3838" s="3"/>
    </row>
    <row r="3839" spans="1:9" x14ac:dyDescent="0.3">
      <c r="A3839" s="2"/>
      <c r="H3839" s="3"/>
      <c r="I3839" s="3"/>
    </row>
    <row r="3840" spans="1:9" x14ac:dyDescent="0.3">
      <c r="A3840" s="2"/>
      <c r="H3840" s="3"/>
      <c r="I3840" s="3"/>
    </row>
    <row r="3841" spans="1:9" x14ac:dyDescent="0.3">
      <c r="A3841" s="2"/>
      <c r="H3841" s="3"/>
      <c r="I3841" s="3"/>
    </row>
    <row r="3842" spans="1:9" x14ac:dyDescent="0.3">
      <c r="A3842" s="2"/>
      <c r="H3842" s="3"/>
      <c r="I3842" s="3"/>
    </row>
    <row r="3843" spans="1:9" x14ac:dyDescent="0.3">
      <c r="A3843" s="2"/>
      <c r="H3843" s="3"/>
      <c r="I3843" s="3"/>
    </row>
    <row r="3844" spans="1:9" x14ac:dyDescent="0.3">
      <c r="A3844" s="2"/>
      <c r="H3844" s="3"/>
      <c r="I3844" s="3"/>
    </row>
    <row r="3845" spans="1:9" x14ac:dyDescent="0.3">
      <c r="A3845" s="2"/>
      <c r="H3845" s="3"/>
      <c r="I3845" s="3"/>
    </row>
    <row r="3846" spans="1:9" x14ac:dyDescent="0.3">
      <c r="A3846" s="2"/>
      <c r="H3846" s="3"/>
      <c r="I3846" s="3"/>
    </row>
    <row r="3847" spans="1:9" x14ac:dyDescent="0.3">
      <c r="A3847" s="2"/>
      <c r="H3847" s="3"/>
      <c r="I3847" s="3"/>
    </row>
    <row r="3848" spans="1:9" x14ac:dyDescent="0.3">
      <c r="A3848" s="2"/>
      <c r="H3848" s="3"/>
      <c r="I3848" s="3"/>
    </row>
    <row r="3849" spans="1:9" x14ac:dyDescent="0.3">
      <c r="A3849" s="2"/>
      <c r="H3849" s="3"/>
      <c r="I3849" s="3"/>
    </row>
    <row r="3850" spans="1:9" x14ac:dyDescent="0.3">
      <c r="A3850" s="2"/>
      <c r="H3850" s="3"/>
      <c r="I3850" s="3"/>
    </row>
    <row r="3851" spans="1:9" x14ac:dyDescent="0.3">
      <c r="A3851" s="2"/>
      <c r="H3851" s="3"/>
      <c r="I3851" s="3"/>
    </row>
    <row r="3852" spans="1:9" x14ac:dyDescent="0.3">
      <c r="A3852" s="2"/>
      <c r="H3852" s="3"/>
      <c r="I3852" s="3"/>
    </row>
    <row r="3853" spans="1:9" x14ac:dyDescent="0.3">
      <c r="A3853" s="2"/>
      <c r="H3853" s="3"/>
      <c r="I3853" s="3"/>
    </row>
    <row r="3854" spans="1:9" x14ac:dyDescent="0.3">
      <c r="A3854" s="2"/>
      <c r="H3854" s="3"/>
      <c r="I3854" s="3"/>
    </row>
    <row r="3855" spans="1:9" x14ac:dyDescent="0.3">
      <c r="A3855" s="2"/>
      <c r="H3855" s="3"/>
      <c r="I3855" s="3"/>
    </row>
    <row r="3856" spans="1:9" x14ac:dyDescent="0.3">
      <c r="A3856" s="2"/>
      <c r="H3856" s="3"/>
      <c r="I3856" s="3"/>
    </row>
    <row r="3857" spans="1:9" x14ac:dyDescent="0.3">
      <c r="A3857" s="2"/>
      <c r="H3857" s="3"/>
      <c r="I3857" s="3"/>
    </row>
    <row r="3858" spans="1:9" x14ac:dyDescent="0.3">
      <c r="A3858" s="2"/>
      <c r="H3858" s="3"/>
      <c r="I3858" s="3"/>
    </row>
    <row r="3859" spans="1:9" x14ac:dyDescent="0.3">
      <c r="A3859" s="2"/>
      <c r="H3859" s="3"/>
      <c r="I3859" s="3"/>
    </row>
    <row r="3860" spans="1:9" x14ac:dyDescent="0.3">
      <c r="A3860" s="2"/>
      <c r="H3860" s="3"/>
      <c r="I3860" s="3"/>
    </row>
    <row r="3861" spans="1:9" x14ac:dyDescent="0.3">
      <c r="A3861" s="2"/>
      <c r="H3861" s="3"/>
      <c r="I3861" s="3"/>
    </row>
    <row r="3862" spans="1:9" x14ac:dyDescent="0.3">
      <c r="A3862" s="2"/>
      <c r="H3862" s="3"/>
      <c r="I3862" s="3"/>
    </row>
    <row r="3863" spans="1:9" x14ac:dyDescent="0.3">
      <c r="A3863" s="2"/>
      <c r="H3863" s="3"/>
      <c r="I3863" s="3"/>
    </row>
    <row r="3864" spans="1:9" x14ac:dyDescent="0.3">
      <c r="A3864" s="2"/>
      <c r="H3864" s="3"/>
      <c r="I3864" s="3"/>
    </row>
    <row r="3865" spans="1:9" x14ac:dyDescent="0.3">
      <c r="A3865" s="2"/>
      <c r="H3865" s="3"/>
      <c r="I3865" s="3"/>
    </row>
    <row r="3866" spans="1:9" x14ac:dyDescent="0.3">
      <c r="A3866" s="2"/>
      <c r="H3866" s="3"/>
      <c r="I3866" s="3"/>
    </row>
    <row r="3867" spans="1:9" x14ac:dyDescent="0.3">
      <c r="A3867" s="2"/>
      <c r="H3867" s="3"/>
      <c r="I3867" s="3"/>
    </row>
    <row r="3868" spans="1:9" x14ac:dyDescent="0.3">
      <c r="A3868" s="2"/>
      <c r="H3868" s="3"/>
      <c r="I3868" s="3"/>
    </row>
    <row r="3869" spans="1:9" x14ac:dyDescent="0.3">
      <c r="A3869" s="2"/>
      <c r="H3869" s="3"/>
      <c r="I3869" s="3"/>
    </row>
    <row r="3870" spans="1:9" x14ac:dyDescent="0.3">
      <c r="A3870" s="2"/>
      <c r="H3870" s="3"/>
      <c r="I3870" s="3"/>
    </row>
    <row r="3871" spans="1:9" x14ac:dyDescent="0.3">
      <c r="A3871" s="2"/>
      <c r="H3871" s="3"/>
      <c r="I3871" s="3"/>
    </row>
    <row r="3872" spans="1:9" x14ac:dyDescent="0.3">
      <c r="A3872" s="2"/>
      <c r="H3872" s="3"/>
      <c r="I3872" s="3"/>
    </row>
    <row r="3873" spans="1:9" x14ac:dyDescent="0.3">
      <c r="A3873" s="2"/>
      <c r="H3873" s="3"/>
      <c r="I3873" s="3"/>
    </row>
    <row r="3874" spans="1:9" x14ac:dyDescent="0.3">
      <c r="A3874" s="2"/>
      <c r="H3874" s="3"/>
      <c r="I3874" s="3"/>
    </row>
    <row r="3875" spans="1:9" x14ac:dyDescent="0.3">
      <c r="A3875" s="2"/>
      <c r="H3875" s="3"/>
      <c r="I3875" s="3"/>
    </row>
    <row r="3876" spans="1:9" x14ac:dyDescent="0.3">
      <c r="A3876" s="2"/>
      <c r="H3876" s="3"/>
      <c r="I3876" s="3"/>
    </row>
    <row r="3877" spans="1:9" x14ac:dyDescent="0.3">
      <c r="A3877" s="2"/>
      <c r="H3877" s="3"/>
      <c r="I3877" s="3"/>
    </row>
    <row r="3878" spans="1:9" x14ac:dyDescent="0.3">
      <c r="A3878" s="2"/>
      <c r="H3878" s="3"/>
      <c r="I3878" s="3"/>
    </row>
    <row r="3879" spans="1:9" x14ac:dyDescent="0.3">
      <c r="A3879" s="2"/>
      <c r="H3879" s="3"/>
      <c r="I3879" s="3"/>
    </row>
    <row r="3880" spans="1:9" x14ac:dyDescent="0.3">
      <c r="A3880" s="2"/>
      <c r="H3880" s="3"/>
      <c r="I3880" s="3"/>
    </row>
    <row r="3881" spans="1:9" x14ac:dyDescent="0.3">
      <c r="A3881" s="2"/>
      <c r="H3881" s="3"/>
      <c r="I3881" s="3"/>
    </row>
    <row r="3882" spans="1:9" x14ac:dyDescent="0.3">
      <c r="A3882" s="2"/>
      <c r="H3882" s="3"/>
      <c r="I3882" s="3"/>
    </row>
    <row r="3883" spans="1:9" x14ac:dyDescent="0.3">
      <c r="A3883" s="2"/>
      <c r="H3883" s="3"/>
      <c r="I3883" s="3"/>
    </row>
    <row r="3884" spans="1:9" x14ac:dyDescent="0.3">
      <c r="A3884" s="2"/>
      <c r="H3884" s="3"/>
      <c r="I3884" s="3"/>
    </row>
    <row r="3885" spans="1:9" x14ac:dyDescent="0.3">
      <c r="A3885" s="2"/>
      <c r="H3885" s="3"/>
      <c r="I3885" s="3"/>
    </row>
    <row r="3886" spans="1:9" x14ac:dyDescent="0.3">
      <c r="A3886" s="2"/>
      <c r="H3886" s="3"/>
      <c r="I3886" s="3"/>
    </row>
    <row r="3887" spans="1:9" x14ac:dyDescent="0.3">
      <c r="A3887" s="2"/>
      <c r="H3887" s="3"/>
      <c r="I3887" s="3"/>
    </row>
    <row r="3888" spans="1:9" x14ac:dyDescent="0.3">
      <c r="A3888" s="2"/>
      <c r="H3888" s="3"/>
      <c r="I3888" s="3"/>
    </row>
    <row r="3889" spans="1:9" x14ac:dyDescent="0.3">
      <c r="A3889" s="2"/>
      <c r="H3889" s="3"/>
      <c r="I3889" s="3"/>
    </row>
    <row r="3890" spans="1:9" x14ac:dyDescent="0.3">
      <c r="A3890" s="2"/>
      <c r="H3890" s="3"/>
      <c r="I3890" s="3"/>
    </row>
    <row r="3891" spans="1:9" x14ac:dyDescent="0.3">
      <c r="A3891" s="2"/>
      <c r="H3891" s="3"/>
      <c r="I3891" s="3"/>
    </row>
    <row r="3892" spans="1:9" x14ac:dyDescent="0.3">
      <c r="A3892" s="2"/>
      <c r="H3892" s="3"/>
      <c r="I3892" s="3"/>
    </row>
    <row r="3893" spans="1:9" x14ac:dyDescent="0.3">
      <c r="A3893" s="2"/>
      <c r="H3893" s="3"/>
      <c r="I3893" s="3"/>
    </row>
    <row r="3894" spans="1:9" x14ac:dyDescent="0.3">
      <c r="A3894" s="2"/>
      <c r="H3894" s="3"/>
      <c r="I3894" s="3"/>
    </row>
    <row r="3895" spans="1:9" x14ac:dyDescent="0.3">
      <c r="A3895" s="2"/>
      <c r="H3895" s="3"/>
      <c r="I3895" s="3"/>
    </row>
    <row r="3896" spans="1:9" x14ac:dyDescent="0.3">
      <c r="A3896" s="2"/>
      <c r="H3896" s="3"/>
      <c r="I3896" s="3"/>
    </row>
    <row r="3897" spans="1:9" x14ac:dyDescent="0.3">
      <c r="A3897" s="2"/>
      <c r="H3897" s="3"/>
      <c r="I3897" s="3"/>
    </row>
    <row r="3898" spans="1:9" x14ac:dyDescent="0.3">
      <c r="A3898" s="2"/>
      <c r="H3898" s="3"/>
      <c r="I3898" s="3"/>
    </row>
    <row r="3899" spans="1:9" x14ac:dyDescent="0.3">
      <c r="A3899" s="2"/>
      <c r="H3899" s="3"/>
      <c r="I3899" s="3"/>
    </row>
    <row r="3900" spans="1:9" x14ac:dyDescent="0.3">
      <c r="A3900" s="2"/>
      <c r="H3900" s="3"/>
      <c r="I3900" s="3"/>
    </row>
    <row r="3901" spans="1:9" x14ac:dyDescent="0.3">
      <c r="A3901" s="2"/>
      <c r="H3901" s="3"/>
      <c r="I3901" s="3"/>
    </row>
    <row r="3902" spans="1:9" x14ac:dyDescent="0.3">
      <c r="A3902" s="2"/>
      <c r="H3902" s="3"/>
      <c r="I3902" s="3"/>
    </row>
    <row r="3903" spans="1:9" x14ac:dyDescent="0.3">
      <c r="A3903" s="2"/>
      <c r="H3903" s="3"/>
      <c r="I3903" s="3"/>
    </row>
    <row r="3904" spans="1:9" x14ac:dyDescent="0.3">
      <c r="A3904" s="2"/>
      <c r="H3904" s="3"/>
      <c r="I3904" s="3"/>
    </row>
    <row r="3905" spans="1:9" x14ac:dyDescent="0.3">
      <c r="A3905" s="2"/>
      <c r="H3905" s="3"/>
      <c r="I3905" s="3"/>
    </row>
    <row r="3906" spans="1:9" x14ac:dyDescent="0.3">
      <c r="A3906" s="2"/>
      <c r="H3906" s="3"/>
      <c r="I3906" s="3"/>
    </row>
    <row r="3907" spans="1:9" x14ac:dyDescent="0.3">
      <c r="A3907" s="2"/>
      <c r="H3907" s="3"/>
      <c r="I3907" s="3"/>
    </row>
    <row r="3908" spans="1:9" x14ac:dyDescent="0.3">
      <c r="A3908" s="2"/>
      <c r="H3908" s="3"/>
      <c r="I3908" s="3"/>
    </row>
    <row r="3909" spans="1:9" x14ac:dyDescent="0.3">
      <c r="A3909" s="2"/>
      <c r="H3909" s="3"/>
      <c r="I3909" s="3"/>
    </row>
    <row r="3910" spans="1:9" x14ac:dyDescent="0.3">
      <c r="A3910" s="2"/>
      <c r="H3910" s="3"/>
      <c r="I3910" s="3"/>
    </row>
    <row r="3911" spans="1:9" x14ac:dyDescent="0.3">
      <c r="A3911" s="2"/>
      <c r="H3911" s="3"/>
      <c r="I3911" s="3"/>
    </row>
    <row r="3912" spans="1:9" x14ac:dyDescent="0.3">
      <c r="A3912" s="2"/>
      <c r="H3912" s="3"/>
      <c r="I3912" s="3"/>
    </row>
    <row r="3913" spans="1:9" x14ac:dyDescent="0.3">
      <c r="A3913" s="2"/>
      <c r="H3913" s="3"/>
      <c r="I3913" s="3"/>
    </row>
    <row r="3914" spans="1:9" x14ac:dyDescent="0.3">
      <c r="A3914" s="2"/>
      <c r="H3914" s="3"/>
      <c r="I3914" s="3"/>
    </row>
    <row r="3915" spans="1:9" x14ac:dyDescent="0.3">
      <c r="A3915" s="2"/>
      <c r="H3915" s="3"/>
      <c r="I3915" s="3"/>
    </row>
    <row r="3916" spans="1:9" x14ac:dyDescent="0.3">
      <c r="A3916" s="2"/>
      <c r="H3916" s="3"/>
      <c r="I3916" s="3"/>
    </row>
    <row r="3917" spans="1:9" x14ac:dyDescent="0.3">
      <c r="A3917" s="2"/>
      <c r="H3917" s="3"/>
      <c r="I3917" s="3"/>
    </row>
    <row r="3918" spans="1:9" x14ac:dyDescent="0.3">
      <c r="A3918" s="2"/>
      <c r="H3918" s="3"/>
      <c r="I3918" s="3"/>
    </row>
    <row r="3919" spans="1:9" x14ac:dyDescent="0.3">
      <c r="A3919" s="2"/>
      <c r="H3919" s="3"/>
      <c r="I3919" s="3"/>
    </row>
    <row r="3920" spans="1:9" x14ac:dyDescent="0.3">
      <c r="A3920" s="2"/>
      <c r="H3920" s="3"/>
      <c r="I3920" s="3"/>
    </row>
    <row r="3921" spans="1:9" x14ac:dyDescent="0.3">
      <c r="A3921" s="2"/>
      <c r="H3921" s="3"/>
      <c r="I3921" s="3"/>
    </row>
    <row r="3922" spans="1:9" x14ac:dyDescent="0.3">
      <c r="A3922" s="2"/>
      <c r="H3922" s="3"/>
      <c r="I3922" s="3"/>
    </row>
    <row r="3923" spans="1:9" x14ac:dyDescent="0.3">
      <c r="A3923" s="2"/>
      <c r="H3923" s="3"/>
      <c r="I3923" s="3"/>
    </row>
    <row r="3924" spans="1:9" x14ac:dyDescent="0.3">
      <c r="A3924" s="2"/>
      <c r="H3924" s="3"/>
      <c r="I3924" s="3"/>
    </row>
    <row r="3925" spans="1:9" x14ac:dyDescent="0.3">
      <c r="A3925" s="2"/>
      <c r="H3925" s="3"/>
      <c r="I3925" s="3"/>
    </row>
    <row r="3926" spans="1:9" x14ac:dyDescent="0.3">
      <c r="A3926" s="2"/>
      <c r="H3926" s="3"/>
      <c r="I3926" s="3"/>
    </row>
    <row r="3927" spans="1:9" x14ac:dyDescent="0.3">
      <c r="A3927" s="2"/>
      <c r="H3927" s="3"/>
      <c r="I3927" s="3"/>
    </row>
    <row r="3928" spans="1:9" x14ac:dyDescent="0.3">
      <c r="A3928" s="2"/>
      <c r="H3928" s="3"/>
      <c r="I3928" s="3"/>
    </row>
    <row r="3929" spans="1:9" x14ac:dyDescent="0.3">
      <c r="A3929" s="2"/>
      <c r="H3929" s="3"/>
      <c r="I3929" s="3"/>
    </row>
    <row r="3930" spans="1:9" x14ac:dyDescent="0.3">
      <c r="A3930" s="2"/>
      <c r="H3930" s="3"/>
      <c r="I3930" s="3"/>
    </row>
    <row r="3931" spans="1:9" x14ac:dyDescent="0.3">
      <c r="A3931" s="2"/>
      <c r="H3931" s="3"/>
      <c r="I3931" s="3"/>
    </row>
    <row r="3932" spans="1:9" x14ac:dyDescent="0.3">
      <c r="A3932" s="2"/>
      <c r="H3932" s="3"/>
      <c r="I3932" s="3"/>
    </row>
    <row r="3933" spans="1:9" x14ac:dyDescent="0.3">
      <c r="A3933" s="2"/>
      <c r="H3933" s="3"/>
      <c r="I3933" s="3"/>
    </row>
    <row r="3934" spans="1:9" x14ac:dyDescent="0.3">
      <c r="A3934" s="2"/>
      <c r="H3934" s="3"/>
      <c r="I3934" s="3"/>
    </row>
    <row r="3935" spans="1:9" x14ac:dyDescent="0.3">
      <c r="A3935" s="2"/>
      <c r="H3935" s="3"/>
      <c r="I3935" s="3"/>
    </row>
    <row r="3936" spans="1:9" x14ac:dyDescent="0.3">
      <c r="A3936" s="2"/>
      <c r="H3936" s="3"/>
      <c r="I3936" s="3"/>
    </row>
    <row r="3937" spans="1:9" x14ac:dyDescent="0.3">
      <c r="A3937" s="2"/>
      <c r="H3937" s="3"/>
      <c r="I3937" s="3"/>
    </row>
    <row r="3938" spans="1:9" x14ac:dyDescent="0.3">
      <c r="A3938" s="2"/>
      <c r="H3938" s="3"/>
      <c r="I3938" s="3"/>
    </row>
    <row r="3939" spans="1:9" x14ac:dyDescent="0.3">
      <c r="A3939" s="2"/>
      <c r="H3939" s="3"/>
      <c r="I3939" s="3"/>
    </row>
    <row r="3940" spans="1:9" x14ac:dyDescent="0.3">
      <c r="A3940" s="2"/>
      <c r="H3940" s="3"/>
      <c r="I3940" s="3"/>
    </row>
    <row r="3941" spans="1:9" x14ac:dyDescent="0.3">
      <c r="A3941" s="2"/>
      <c r="H3941" s="3"/>
      <c r="I3941" s="3"/>
    </row>
    <row r="3942" spans="1:9" x14ac:dyDescent="0.3">
      <c r="A3942" s="2"/>
      <c r="H3942" s="3"/>
      <c r="I3942" s="3"/>
    </row>
    <row r="3943" spans="1:9" x14ac:dyDescent="0.3">
      <c r="A3943" s="2"/>
      <c r="H3943" s="3"/>
      <c r="I3943" s="3"/>
    </row>
    <row r="3944" spans="1:9" x14ac:dyDescent="0.3">
      <c r="A3944" s="2"/>
      <c r="H3944" s="3"/>
      <c r="I3944" s="3"/>
    </row>
    <row r="3945" spans="1:9" x14ac:dyDescent="0.3">
      <c r="A3945" s="2"/>
      <c r="H3945" s="3"/>
      <c r="I3945" s="3"/>
    </row>
    <row r="3946" spans="1:9" x14ac:dyDescent="0.3">
      <c r="A3946" s="2"/>
      <c r="H3946" s="3"/>
      <c r="I3946" s="3"/>
    </row>
    <row r="3947" spans="1:9" x14ac:dyDescent="0.3">
      <c r="A3947" s="2"/>
      <c r="H3947" s="3"/>
      <c r="I3947" s="3"/>
    </row>
    <row r="3948" spans="1:9" x14ac:dyDescent="0.3">
      <c r="A3948" s="2"/>
      <c r="H3948" s="3"/>
      <c r="I3948" s="3"/>
    </row>
    <row r="3949" spans="1:9" x14ac:dyDescent="0.3">
      <c r="A3949" s="2"/>
      <c r="H3949" s="3"/>
      <c r="I3949" s="3"/>
    </row>
    <row r="3950" spans="1:9" x14ac:dyDescent="0.3">
      <c r="A3950" s="2"/>
      <c r="H3950" s="3"/>
      <c r="I3950" s="3"/>
    </row>
    <row r="3951" spans="1:9" x14ac:dyDescent="0.3">
      <c r="A3951" s="2"/>
      <c r="H3951" s="3"/>
      <c r="I3951" s="3"/>
    </row>
    <row r="3952" spans="1:9" x14ac:dyDescent="0.3">
      <c r="A3952" s="2"/>
      <c r="H3952" s="3"/>
      <c r="I3952" s="3"/>
    </row>
    <row r="3953" spans="1:9" x14ac:dyDescent="0.3">
      <c r="A3953" s="2"/>
      <c r="H3953" s="3"/>
      <c r="I3953" s="3"/>
    </row>
    <row r="3954" spans="1:9" x14ac:dyDescent="0.3">
      <c r="A3954" s="2"/>
      <c r="H3954" s="3"/>
      <c r="I3954" s="3"/>
    </row>
    <row r="3955" spans="1:9" x14ac:dyDescent="0.3">
      <c r="A3955" s="2"/>
      <c r="H3955" s="3"/>
      <c r="I3955" s="3"/>
    </row>
    <row r="3956" spans="1:9" x14ac:dyDescent="0.3">
      <c r="A3956" s="2"/>
      <c r="H3956" s="3"/>
      <c r="I3956" s="3"/>
    </row>
    <row r="3957" spans="1:9" x14ac:dyDescent="0.3">
      <c r="A3957" s="2"/>
      <c r="H3957" s="3"/>
      <c r="I3957" s="3"/>
    </row>
    <row r="3958" spans="1:9" x14ac:dyDescent="0.3">
      <c r="A3958" s="2"/>
      <c r="H3958" s="3"/>
      <c r="I3958" s="3"/>
    </row>
    <row r="3959" spans="1:9" x14ac:dyDescent="0.3">
      <c r="A3959" s="2"/>
      <c r="H3959" s="3"/>
      <c r="I3959" s="3"/>
    </row>
    <row r="3960" spans="1:9" x14ac:dyDescent="0.3">
      <c r="A3960" s="2"/>
      <c r="H3960" s="3"/>
      <c r="I3960" s="3"/>
    </row>
    <row r="3961" spans="1:9" x14ac:dyDescent="0.3">
      <c r="A3961" s="2"/>
      <c r="H3961" s="3"/>
      <c r="I3961" s="3"/>
    </row>
    <row r="3962" spans="1:9" x14ac:dyDescent="0.3">
      <c r="A3962" s="2"/>
      <c r="H3962" s="3"/>
      <c r="I3962" s="3"/>
    </row>
    <row r="3963" spans="1:9" x14ac:dyDescent="0.3">
      <c r="A3963" s="2"/>
      <c r="H3963" s="3"/>
      <c r="I3963" s="3"/>
    </row>
    <row r="3964" spans="1:9" x14ac:dyDescent="0.3">
      <c r="A3964" s="2"/>
      <c r="H3964" s="3"/>
      <c r="I3964" s="3"/>
    </row>
    <row r="3965" spans="1:9" x14ac:dyDescent="0.3">
      <c r="A3965" s="2"/>
      <c r="H3965" s="3"/>
      <c r="I3965" s="3"/>
    </row>
    <row r="3966" spans="1:9" x14ac:dyDescent="0.3">
      <c r="A3966" s="2"/>
      <c r="H3966" s="3"/>
      <c r="I3966" s="3"/>
    </row>
    <row r="3967" spans="1:9" x14ac:dyDescent="0.3">
      <c r="A3967" s="2"/>
      <c r="H3967" s="3"/>
      <c r="I3967" s="3"/>
    </row>
    <row r="3968" spans="1:9" x14ac:dyDescent="0.3">
      <c r="A3968" s="2"/>
      <c r="H3968" s="3"/>
      <c r="I3968" s="3"/>
    </row>
    <row r="3969" spans="1:9" x14ac:dyDescent="0.3">
      <c r="A3969" s="2"/>
      <c r="H3969" s="3"/>
      <c r="I3969" s="3"/>
    </row>
    <row r="3970" spans="1:9" x14ac:dyDescent="0.3">
      <c r="A3970" s="2"/>
      <c r="H3970" s="3"/>
      <c r="I3970" s="3"/>
    </row>
    <row r="3971" spans="1:9" x14ac:dyDescent="0.3">
      <c r="A3971" s="2"/>
      <c r="H3971" s="3"/>
      <c r="I3971" s="3"/>
    </row>
    <row r="3972" spans="1:9" x14ac:dyDescent="0.3">
      <c r="A3972" s="2"/>
      <c r="H3972" s="3"/>
      <c r="I3972" s="3"/>
    </row>
    <row r="3973" spans="1:9" x14ac:dyDescent="0.3">
      <c r="A3973" s="2"/>
      <c r="H3973" s="3"/>
      <c r="I3973" s="3"/>
    </row>
    <row r="3974" spans="1:9" x14ac:dyDescent="0.3">
      <c r="A3974" s="2"/>
      <c r="H3974" s="3"/>
      <c r="I3974" s="3"/>
    </row>
    <row r="3975" spans="1:9" x14ac:dyDescent="0.3">
      <c r="A3975" s="2"/>
      <c r="H3975" s="3"/>
      <c r="I3975" s="3"/>
    </row>
    <row r="3976" spans="1:9" x14ac:dyDescent="0.3">
      <c r="A3976" s="2"/>
      <c r="H3976" s="3"/>
      <c r="I3976" s="3"/>
    </row>
    <row r="3977" spans="1:9" x14ac:dyDescent="0.3">
      <c r="A3977" s="2"/>
      <c r="H3977" s="3"/>
      <c r="I3977" s="3"/>
    </row>
    <row r="3978" spans="1:9" x14ac:dyDescent="0.3">
      <c r="A3978" s="2"/>
      <c r="H3978" s="3"/>
      <c r="I3978" s="3"/>
    </row>
    <row r="3979" spans="1:9" x14ac:dyDescent="0.3">
      <c r="A3979" s="2"/>
      <c r="H3979" s="3"/>
      <c r="I3979" s="3"/>
    </row>
    <row r="3980" spans="1:9" x14ac:dyDescent="0.3">
      <c r="A3980" s="2"/>
      <c r="H3980" s="3"/>
      <c r="I3980" s="3"/>
    </row>
    <row r="3981" spans="1:9" x14ac:dyDescent="0.3">
      <c r="A3981" s="2"/>
      <c r="H3981" s="3"/>
      <c r="I3981" s="3"/>
    </row>
    <row r="3982" spans="1:9" x14ac:dyDescent="0.3">
      <c r="A3982" s="2"/>
      <c r="H3982" s="3"/>
      <c r="I3982" s="3"/>
    </row>
    <row r="3983" spans="1:9" x14ac:dyDescent="0.3">
      <c r="A3983" s="2"/>
      <c r="H3983" s="3"/>
      <c r="I3983" s="3"/>
    </row>
    <row r="3984" spans="1:9" x14ac:dyDescent="0.3">
      <c r="A3984" s="2"/>
      <c r="H3984" s="3"/>
      <c r="I3984" s="3"/>
    </row>
    <row r="3985" spans="1:9" x14ac:dyDescent="0.3">
      <c r="A3985" s="2"/>
      <c r="H3985" s="3"/>
      <c r="I3985" s="3"/>
    </row>
    <row r="3986" spans="1:9" x14ac:dyDescent="0.3">
      <c r="A3986" s="2"/>
      <c r="H3986" s="3"/>
      <c r="I3986" s="3"/>
    </row>
    <row r="3987" spans="1:9" x14ac:dyDescent="0.3">
      <c r="A3987" s="2"/>
      <c r="H3987" s="3"/>
      <c r="I3987" s="3"/>
    </row>
    <row r="3988" spans="1:9" x14ac:dyDescent="0.3">
      <c r="A3988" s="2"/>
      <c r="H3988" s="3"/>
      <c r="I3988" s="3"/>
    </row>
    <row r="3989" spans="1:9" x14ac:dyDescent="0.3">
      <c r="A3989" s="2"/>
      <c r="H3989" s="3"/>
      <c r="I3989" s="3"/>
    </row>
    <row r="3990" spans="1:9" x14ac:dyDescent="0.3">
      <c r="A3990" s="2"/>
      <c r="H3990" s="3"/>
      <c r="I3990" s="3"/>
    </row>
    <row r="3991" spans="1:9" x14ac:dyDescent="0.3">
      <c r="A3991" s="2"/>
      <c r="H3991" s="3"/>
      <c r="I3991" s="3"/>
    </row>
    <row r="3992" spans="1:9" x14ac:dyDescent="0.3">
      <c r="A3992" s="2"/>
      <c r="H3992" s="3"/>
      <c r="I3992" s="3"/>
    </row>
    <row r="3993" spans="1:9" x14ac:dyDescent="0.3">
      <c r="A3993" s="2"/>
      <c r="H3993" s="3"/>
      <c r="I3993" s="3"/>
    </row>
    <row r="3994" spans="1:9" x14ac:dyDescent="0.3">
      <c r="A3994" s="2"/>
      <c r="H3994" s="3"/>
      <c r="I3994" s="3"/>
    </row>
    <row r="3995" spans="1:9" x14ac:dyDescent="0.3">
      <c r="A3995" s="2"/>
      <c r="H3995" s="3"/>
      <c r="I3995" s="3"/>
    </row>
    <row r="3996" spans="1:9" x14ac:dyDescent="0.3">
      <c r="A3996" s="2"/>
      <c r="H3996" s="3"/>
      <c r="I3996" s="3"/>
    </row>
    <row r="3997" spans="1:9" x14ac:dyDescent="0.3">
      <c r="A3997" s="2"/>
      <c r="H3997" s="3"/>
      <c r="I3997" s="3"/>
    </row>
    <row r="3998" spans="1:9" x14ac:dyDescent="0.3">
      <c r="A3998" s="2"/>
      <c r="H3998" s="3"/>
      <c r="I3998" s="3"/>
    </row>
    <row r="3999" spans="1:9" x14ac:dyDescent="0.3">
      <c r="A3999" s="2"/>
      <c r="H3999" s="3"/>
      <c r="I3999" s="3"/>
    </row>
    <row r="4000" spans="1:9" x14ac:dyDescent="0.3">
      <c r="A4000" s="2"/>
      <c r="H4000" s="3"/>
      <c r="I4000" s="3"/>
    </row>
    <row r="4001" spans="1:9" x14ac:dyDescent="0.3">
      <c r="A4001" s="2"/>
      <c r="H4001" s="3"/>
      <c r="I4001" s="3"/>
    </row>
    <row r="4002" spans="1:9" x14ac:dyDescent="0.3">
      <c r="A4002" s="2"/>
      <c r="H4002" s="3"/>
      <c r="I4002" s="3"/>
    </row>
    <row r="4003" spans="1:9" x14ac:dyDescent="0.3">
      <c r="A4003" s="2"/>
      <c r="H4003" s="3"/>
      <c r="I4003" s="3"/>
    </row>
    <row r="4004" spans="1:9" x14ac:dyDescent="0.3">
      <c r="A4004" s="2"/>
      <c r="H4004" s="3"/>
      <c r="I4004" s="3"/>
    </row>
    <row r="4005" spans="1:9" x14ac:dyDescent="0.3">
      <c r="A4005" s="2"/>
      <c r="H4005" s="3"/>
      <c r="I4005" s="3"/>
    </row>
    <row r="4006" spans="1:9" x14ac:dyDescent="0.3">
      <c r="A4006" s="2"/>
      <c r="H4006" s="3"/>
      <c r="I4006" s="3"/>
    </row>
    <row r="4007" spans="1:9" x14ac:dyDescent="0.3">
      <c r="A4007" s="2"/>
      <c r="H4007" s="3"/>
      <c r="I4007" s="3"/>
    </row>
    <row r="4008" spans="1:9" x14ac:dyDescent="0.3">
      <c r="A4008" s="2"/>
      <c r="H4008" s="3"/>
      <c r="I4008" s="3"/>
    </row>
    <row r="4009" spans="1:9" x14ac:dyDescent="0.3">
      <c r="A4009" s="2"/>
      <c r="H4009" s="3"/>
      <c r="I4009" s="3"/>
    </row>
    <row r="4010" spans="1:9" x14ac:dyDescent="0.3">
      <c r="A4010" s="2"/>
      <c r="H4010" s="3"/>
      <c r="I4010" s="3"/>
    </row>
    <row r="4011" spans="1:9" x14ac:dyDescent="0.3">
      <c r="A4011" s="2"/>
      <c r="H4011" s="3"/>
      <c r="I4011" s="3"/>
    </row>
    <row r="4012" spans="1:9" x14ac:dyDescent="0.3">
      <c r="A4012" s="2"/>
      <c r="H4012" s="3"/>
      <c r="I4012" s="3"/>
    </row>
    <row r="4013" spans="1:9" x14ac:dyDescent="0.3">
      <c r="A4013" s="2"/>
      <c r="H4013" s="3"/>
      <c r="I4013" s="3"/>
    </row>
    <row r="4014" spans="1:9" x14ac:dyDescent="0.3">
      <c r="A4014" s="2"/>
      <c r="H4014" s="3"/>
      <c r="I4014" s="3"/>
    </row>
    <row r="4015" spans="1:9" x14ac:dyDescent="0.3">
      <c r="A4015" s="2"/>
      <c r="H4015" s="3"/>
      <c r="I4015" s="3"/>
    </row>
    <row r="4016" spans="1:9" x14ac:dyDescent="0.3">
      <c r="A4016" s="2"/>
      <c r="H4016" s="3"/>
      <c r="I4016" s="3"/>
    </row>
    <row r="4017" spans="1:9" x14ac:dyDescent="0.3">
      <c r="A4017" s="2"/>
      <c r="H4017" s="3"/>
      <c r="I4017" s="3"/>
    </row>
    <row r="4018" spans="1:9" x14ac:dyDescent="0.3">
      <c r="A4018" s="2"/>
      <c r="H4018" s="3"/>
      <c r="I4018" s="3"/>
    </row>
    <row r="4019" spans="1:9" x14ac:dyDescent="0.3">
      <c r="A4019" s="2"/>
      <c r="H4019" s="3"/>
      <c r="I4019" s="3"/>
    </row>
    <row r="4020" spans="1:9" x14ac:dyDescent="0.3">
      <c r="A4020" s="2"/>
      <c r="H4020" s="3"/>
      <c r="I4020" s="3"/>
    </row>
    <row r="4021" spans="1:9" x14ac:dyDescent="0.3">
      <c r="A4021" s="2"/>
      <c r="H4021" s="3"/>
      <c r="I4021" s="3"/>
    </row>
    <row r="4022" spans="1:9" x14ac:dyDescent="0.3">
      <c r="A4022" s="2"/>
      <c r="H4022" s="3"/>
      <c r="I4022" s="3"/>
    </row>
    <row r="4023" spans="1:9" x14ac:dyDescent="0.3">
      <c r="A4023" s="2"/>
      <c r="H4023" s="3"/>
      <c r="I4023" s="3"/>
    </row>
    <row r="4024" spans="1:9" x14ac:dyDescent="0.3">
      <c r="A4024" s="2"/>
      <c r="H4024" s="3"/>
      <c r="I4024" s="3"/>
    </row>
    <row r="4025" spans="1:9" x14ac:dyDescent="0.3">
      <c r="A4025" s="2"/>
      <c r="H4025" s="3"/>
      <c r="I4025" s="3"/>
    </row>
    <row r="4026" spans="1:9" x14ac:dyDescent="0.3">
      <c r="A4026" s="2"/>
      <c r="H4026" s="3"/>
      <c r="I4026" s="3"/>
    </row>
    <row r="4027" spans="1:9" x14ac:dyDescent="0.3">
      <c r="A4027" s="2"/>
      <c r="H4027" s="3"/>
      <c r="I4027" s="3"/>
    </row>
    <row r="4028" spans="1:9" x14ac:dyDescent="0.3">
      <c r="A4028" s="2"/>
      <c r="H4028" s="3"/>
      <c r="I4028" s="3"/>
    </row>
    <row r="4029" spans="1:9" x14ac:dyDescent="0.3">
      <c r="A4029" s="2"/>
      <c r="H4029" s="3"/>
      <c r="I4029" s="3"/>
    </row>
    <row r="4030" spans="1:9" x14ac:dyDescent="0.3">
      <c r="A4030" s="2"/>
      <c r="H4030" s="3"/>
      <c r="I4030" s="3"/>
    </row>
    <row r="4031" spans="1:9" x14ac:dyDescent="0.3">
      <c r="A4031" s="2"/>
      <c r="H4031" s="3"/>
      <c r="I4031" s="3"/>
    </row>
    <row r="4032" spans="1:9" x14ac:dyDescent="0.3">
      <c r="A4032" s="2"/>
      <c r="H4032" s="3"/>
      <c r="I4032" s="3"/>
    </row>
    <row r="4033" spans="1:9" x14ac:dyDescent="0.3">
      <c r="A4033" s="2"/>
      <c r="H4033" s="3"/>
      <c r="I4033" s="3"/>
    </row>
    <row r="4034" spans="1:9" x14ac:dyDescent="0.3">
      <c r="A4034" s="2"/>
      <c r="H4034" s="3"/>
      <c r="I4034" s="3"/>
    </row>
    <row r="4035" spans="1:9" x14ac:dyDescent="0.3">
      <c r="A4035" s="2"/>
      <c r="H4035" s="3"/>
      <c r="I4035" s="3"/>
    </row>
    <row r="4036" spans="1:9" x14ac:dyDescent="0.3">
      <c r="A4036" s="2"/>
      <c r="H4036" s="3"/>
      <c r="I4036" s="3"/>
    </row>
    <row r="4037" spans="1:9" x14ac:dyDescent="0.3">
      <c r="A4037" s="2"/>
      <c r="H4037" s="3"/>
      <c r="I4037" s="3"/>
    </row>
    <row r="4038" spans="1:9" x14ac:dyDescent="0.3">
      <c r="A4038" s="2"/>
      <c r="H4038" s="3"/>
      <c r="I4038" s="3"/>
    </row>
    <row r="4039" spans="1:9" x14ac:dyDescent="0.3">
      <c r="A4039" s="2"/>
      <c r="H4039" s="3"/>
      <c r="I4039" s="3"/>
    </row>
    <row r="4040" spans="1:9" x14ac:dyDescent="0.3">
      <c r="A4040" s="2"/>
      <c r="H4040" s="3"/>
      <c r="I4040" s="3"/>
    </row>
    <row r="4041" spans="1:9" x14ac:dyDescent="0.3">
      <c r="A4041" s="2"/>
      <c r="H4041" s="3"/>
      <c r="I4041" s="3"/>
    </row>
    <row r="4042" spans="1:9" x14ac:dyDescent="0.3">
      <c r="A4042" s="2"/>
      <c r="H4042" s="3"/>
      <c r="I4042" s="3"/>
    </row>
    <row r="4043" spans="1:9" x14ac:dyDescent="0.3">
      <c r="A4043" s="2"/>
      <c r="H4043" s="3"/>
      <c r="I4043" s="3"/>
    </row>
    <row r="4044" spans="1:9" x14ac:dyDescent="0.3">
      <c r="A4044" s="2"/>
      <c r="H4044" s="3"/>
      <c r="I4044" s="3"/>
    </row>
    <row r="4045" spans="1:9" x14ac:dyDescent="0.3">
      <c r="A4045" s="2"/>
      <c r="H4045" s="3"/>
      <c r="I4045" s="3"/>
    </row>
    <row r="4046" spans="1:9" x14ac:dyDescent="0.3">
      <c r="A4046" s="2"/>
      <c r="H4046" s="3"/>
      <c r="I4046" s="3"/>
    </row>
    <row r="4047" spans="1:9" x14ac:dyDescent="0.3">
      <c r="A4047" s="2"/>
      <c r="H4047" s="3"/>
      <c r="I4047" s="3"/>
    </row>
    <row r="4048" spans="1:9" x14ac:dyDescent="0.3">
      <c r="A4048" s="2"/>
      <c r="H4048" s="3"/>
      <c r="I4048" s="3"/>
    </row>
    <row r="4049" spans="1:9" x14ac:dyDescent="0.3">
      <c r="A4049" s="2"/>
      <c r="H4049" s="3"/>
      <c r="I4049" s="3"/>
    </row>
    <row r="4050" spans="1:9" x14ac:dyDescent="0.3">
      <c r="A4050" s="2"/>
      <c r="H4050" s="3"/>
      <c r="I4050" s="3"/>
    </row>
    <row r="4051" spans="1:9" x14ac:dyDescent="0.3">
      <c r="A4051" s="2"/>
      <c r="H4051" s="3"/>
      <c r="I4051" s="3"/>
    </row>
    <row r="4052" spans="1:9" x14ac:dyDescent="0.3">
      <c r="A4052" s="2"/>
      <c r="H4052" s="3"/>
      <c r="I4052" s="3"/>
    </row>
    <row r="4053" spans="1:9" x14ac:dyDescent="0.3">
      <c r="A4053" s="2"/>
      <c r="H4053" s="3"/>
      <c r="I4053" s="3"/>
    </row>
    <row r="4054" spans="1:9" x14ac:dyDescent="0.3">
      <c r="A4054" s="2"/>
      <c r="H4054" s="3"/>
      <c r="I4054" s="3"/>
    </row>
    <row r="4055" spans="1:9" x14ac:dyDescent="0.3">
      <c r="A4055" s="2"/>
      <c r="H4055" s="3"/>
      <c r="I4055" s="3"/>
    </row>
    <row r="4056" spans="1:9" x14ac:dyDescent="0.3">
      <c r="A4056" s="2"/>
      <c r="H4056" s="3"/>
      <c r="I4056" s="3"/>
    </row>
    <row r="4057" spans="1:9" x14ac:dyDescent="0.3">
      <c r="A4057" s="2"/>
      <c r="H4057" s="3"/>
      <c r="I4057" s="3"/>
    </row>
    <row r="4058" spans="1:9" x14ac:dyDescent="0.3">
      <c r="A4058" s="2"/>
      <c r="H4058" s="3"/>
      <c r="I4058" s="3"/>
    </row>
    <row r="4059" spans="1:9" x14ac:dyDescent="0.3">
      <c r="A4059" s="2"/>
      <c r="H4059" s="3"/>
      <c r="I4059" s="3"/>
    </row>
    <row r="4060" spans="1:9" x14ac:dyDescent="0.3">
      <c r="A4060" s="2"/>
      <c r="H4060" s="3"/>
      <c r="I4060" s="3"/>
    </row>
    <row r="4061" spans="1:9" x14ac:dyDescent="0.3">
      <c r="A4061" s="2"/>
      <c r="H4061" s="3"/>
      <c r="I4061" s="3"/>
    </row>
    <row r="4062" spans="1:9" x14ac:dyDescent="0.3">
      <c r="A4062" s="2"/>
      <c r="H4062" s="3"/>
      <c r="I4062" s="3"/>
    </row>
    <row r="4063" spans="1:9" x14ac:dyDescent="0.3">
      <c r="A4063" s="2"/>
      <c r="H4063" s="3"/>
      <c r="I4063" s="3"/>
    </row>
    <row r="4064" spans="1:9" x14ac:dyDescent="0.3">
      <c r="A4064" s="2"/>
      <c r="H4064" s="3"/>
      <c r="I4064" s="3"/>
    </row>
    <row r="4065" spans="1:9" x14ac:dyDescent="0.3">
      <c r="A4065" s="2"/>
      <c r="H4065" s="3"/>
      <c r="I4065" s="3"/>
    </row>
    <row r="4066" spans="1:9" x14ac:dyDescent="0.3">
      <c r="A4066" s="2"/>
      <c r="H4066" s="3"/>
      <c r="I4066" s="3"/>
    </row>
    <row r="4067" spans="1:9" x14ac:dyDescent="0.3">
      <c r="A4067" s="2"/>
      <c r="H4067" s="3"/>
      <c r="I4067" s="3"/>
    </row>
    <row r="4068" spans="1:9" x14ac:dyDescent="0.3">
      <c r="A4068" s="2"/>
      <c r="H4068" s="3"/>
      <c r="I4068" s="3"/>
    </row>
    <row r="4069" spans="1:9" x14ac:dyDescent="0.3">
      <c r="A4069" s="2"/>
      <c r="H4069" s="3"/>
      <c r="I4069" s="3"/>
    </row>
    <row r="4070" spans="1:9" x14ac:dyDescent="0.3">
      <c r="A4070" s="2"/>
      <c r="H4070" s="3"/>
      <c r="I4070" s="3"/>
    </row>
    <row r="4071" spans="1:9" x14ac:dyDescent="0.3">
      <c r="A4071" s="2"/>
      <c r="H4071" s="3"/>
      <c r="I4071" s="3"/>
    </row>
    <row r="4072" spans="1:9" x14ac:dyDescent="0.3">
      <c r="A4072" s="2"/>
      <c r="H4072" s="3"/>
      <c r="I4072" s="3"/>
    </row>
    <row r="4073" spans="1:9" x14ac:dyDescent="0.3">
      <c r="A4073" s="2"/>
      <c r="H4073" s="3"/>
      <c r="I4073" s="3"/>
    </row>
    <row r="4074" spans="1:9" x14ac:dyDescent="0.3">
      <c r="A4074" s="2"/>
      <c r="H4074" s="3"/>
      <c r="I4074" s="3"/>
    </row>
    <row r="4075" spans="1:9" x14ac:dyDescent="0.3">
      <c r="A4075" s="2"/>
      <c r="H4075" s="3"/>
      <c r="I4075" s="3"/>
    </row>
    <row r="4076" spans="1:9" x14ac:dyDescent="0.3">
      <c r="A4076" s="2"/>
      <c r="H4076" s="3"/>
      <c r="I4076" s="3"/>
    </row>
    <row r="4077" spans="1:9" x14ac:dyDescent="0.3">
      <c r="A4077" s="2"/>
      <c r="H4077" s="3"/>
      <c r="I4077" s="3"/>
    </row>
    <row r="4078" spans="1:9" x14ac:dyDescent="0.3">
      <c r="A4078" s="2"/>
      <c r="H4078" s="3"/>
      <c r="I4078" s="3"/>
    </row>
    <row r="4079" spans="1:9" x14ac:dyDescent="0.3">
      <c r="A4079" s="2"/>
      <c r="H4079" s="3"/>
      <c r="I4079" s="3"/>
    </row>
    <row r="4080" spans="1:9" x14ac:dyDescent="0.3">
      <c r="A4080" s="2"/>
      <c r="H4080" s="3"/>
      <c r="I4080" s="3"/>
    </row>
    <row r="4081" spans="1:9" x14ac:dyDescent="0.3">
      <c r="A4081" s="2"/>
      <c r="H4081" s="3"/>
      <c r="I4081" s="3"/>
    </row>
    <row r="4082" spans="1:9" x14ac:dyDescent="0.3">
      <c r="A4082" s="2"/>
      <c r="H4082" s="3"/>
      <c r="I4082" s="3"/>
    </row>
    <row r="4083" spans="1:9" x14ac:dyDescent="0.3">
      <c r="A4083" s="2"/>
      <c r="H4083" s="3"/>
      <c r="I4083" s="3"/>
    </row>
    <row r="4084" spans="1:9" x14ac:dyDescent="0.3">
      <c r="A4084" s="2"/>
      <c r="H4084" s="3"/>
      <c r="I4084" s="3"/>
    </row>
    <row r="4085" spans="1:9" x14ac:dyDescent="0.3">
      <c r="A4085" s="2"/>
      <c r="H4085" s="3"/>
      <c r="I4085" s="3"/>
    </row>
    <row r="4086" spans="1:9" x14ac:dyDescent="0.3">
      <c r="A4086" s="2"/>
      <c r="H4086" s="3"/>
      <c r="I4086" s="3"/>
    </row>
    <row r="4087" spans="1:9" x14ac:dyDescent="0.3">
      <c r="A4087" s="2"/>
      <c r="H4087" s="3"/>
      <c r="I4087" s="3"/>
    </row>
    <row r="4088" spans="1:9" x14ac:dyDescent="0.3">
      <c r="A4088" s="2"/>
      <c r="H4088" s="3"/>
      <c r="I4088" s="3"/>
    </row>
    <row r="4089" spans="1:9" x14ac:dyDescent="0.3">
      <c r="A4089" s="2"/>
      <c r="H4089" s="3"/>
      <c r="I4089" s="3"/>
    </row>
    <row r="4090" spans="1:9" x14ac:dyDescent="0.3">
      <c r="A4090" s="2"/>
      <c r="H4090" s="3"/>
      <c r="I4090" s="3"/>
    </row>
    <row r="4091" spans="1:9" x14ac:dyDescent="0.3">
      <c r="A4091" s="2"/>
      <c r="H4091" s="3"/>
      <c r="I4091" s="3"/>
    </row>
    <row r="4092" spans="1:9" x14ac:dyDescent="0.3">
      <c r="A4092" s="2"/>
      <c r="H4092" s="3"/>
      <c r="I4092" s="3"/>
    </row>
    <row r="4093" spans="1:9" x14ac:dyDescent="0.3">
      <c r="A4093" s="2"/>
      <c r="H4093" s="3"/>
      <c r="I4093" s="3"/>
    </row>
    <row r="4094" spans="1:9" x14ac:dyDescent="0.3">
      <c r="A4094" s="2"/>
      <c r="H4094" s="3"/>
      <c r="I4094" s="3"/>
    </row>
    <row r="4095" spans="1:9" x14ac:dyDescent="0.3">
      <c r="A4095" s="2"/>
      <c r="H4095" s="3"/>
      <c r="I4095" s="3"/>
    </row>
    <row r="4096" spans="1:9" x14ac:dyDescent="0.3">
      <c r="A4096" s="2"/>
      <c r="H4096" s="3"/>
      <c r="I4096" s="3"/>
    </row>
    <row r="4097" spans="1:9" x14ac:dyDescent="0.3">
      <c r="A4097" s="2"/>
      <c r="H4097" s="3"/>
      <c r="I4097" s="3"/>
    </row>
    <row r="4098" spans="1:9" x14ac:dyDescent="0.3">
      <c r="A4098" s="2"/>
      <c r="H4098" s="3"/>
      <c r="I4098" s="3"/>
    </row>
    <row r="4099" spans="1:9" x14ac:dyDescent="0.3">
      <c r="A4099" s="2"/>
      <c r="H4099" s="3"/>
      <c r="I4099" s="3"/>
    </row>
    <row r="4100" spans="1:9" x14ac:dyDescent="0.3">
      <c r="A4100" s="2"/>
      <c r="H4100" s="3"/>
      <c r="I4100" s="3"/>
    </row>
    <row r="4101" spans="1:9" x14ac:dyDescent="0.3">
      <c r="A4101" s="2"/>
      <c r="H4101" s="3"/>
      <c r="I4101" s="3"/>
    </row>
    <row r="4102" spans="1:9" x14ac:dyDescent="0.3">
      <c r="A4102" s="2"/>
      <c r="H4102" s="3"/>
      <c r="I4102" s="3"/>
    </row>
    <row r="4103" spans="1:9" x14ac:dyDescent="0.3">
      <c r="A4103" s="2"/>
      <c r="H4103" s="3"/>
      <c r="I4103" s="3"/>
    </row>
    <row r="4104" spans="1:9" x14ac:dyDescent="0.3">
      <c r="A4104" s="2"/>
      <c r="H4104" s="3"/>
      <c r="I4104" s="3"/>
    </row>
    <row r="4105" spans="1:9" x14ac:dyDescent="0.3">
      <c r="A4105" s="2"/>
      <c r="H4105" s="3"/>
      <c r="I4105" s="3"/>
    </row>
    <row r="4106" spans="1:9" x14ac:dyDescent="0.3">
      <c r="A4106" s="2"/>
      <c r="H4106" s="3"/>
      <c r="I4106" s="3"/>
    </row>
    <row r="4107" spans="1:9" x14ac:dyDescent="0.3">
      <c r="A4107" s="2"/>
      <c r="H4107" s="3"/>
      <c r="I4107" s="3"/>
    </row>
    <row r="4108" spans="1:9" x14ac:dyDescent="0.3">
      <c r="A4108" s="2"/>
      <c r="H4108" s="3"/>
      <c r="I4108" s="3"/>
    </row>
    <row r="4109" spans="1:9" x14ac:dyDescent="0.3">
      <c r="A4109" s="2"/>
      <c r="H4109" s="3"/>
      <c r="I4109" s="3"/>
    </row>
    <row r="4110" spans="1:9" x14ac:dyDescent="0.3">
      <c r="A4110" s="2"/>
      <c r="H4110" s="3"/>
      <c r="I4110" s="3"/>
    </row>
    <row r="4111" spans="1:9" x14ac:dyDescent="0.3">
      <c r="A4111" s="2"/>
      <c r="H4111" s="3"/>
      <c r="I4111" s="3"/>
    </row>
    <row r="4112" spans="1:9" x14ac:dyDescent="0.3">
      <c r="A4112" s="2"/>
      <c r="H4112" s="3"/>
      <c r="I4112" s="3"/>
    </row>
    <row r="4113" spans="1:9" x14ac:dyDescent="0.3">
      <c r="A4113" s="2"/>
      <c r="H4113" s="3"/>
      <c r="I4113" s="3"/>
    </row>
    <row r="4114" spans="1:9" x14ac:dyDescent="0.3">
      <c r="A4114" s="2"/>
      <c r="H4114" s="3"/>
      <c r="I4114" s="3"/>
    </row>
    <row r="4115" spans="1:9" x14ac:dyDescent="0.3">
      <c r="A4115" s="2"/>
      <c r="H4115" s="3"/>
      <c r="I4115" s="3"/>
    </row>
    <row r="4116" spans="1:9" x14ac:dyDescent="0.3">
      <c r="A4116" s="2"/>
      <c r="H4116" s="3"/>
      <c r="I4116" s="3"/>
    </row>
    <row r="4117" spans="1:9" x14ac:dyDescent="0.3">
      <c r="A4117" s="2"/>
      <c r="H4117" s="3"/>
      <c r="I4117" s="3"/>
    </row>
    <row r="4118" spans="1:9" x14ac:dyDescent="0.3">
      <c r="A4118" s="2"/>
      <c r="H4118" s="3"/>
      <c r="I4118" s="3"/>
    </row>
    <row r="4119" spans="1:9" x14ac:dyDescent="0.3">
      <c r="A4119" s="2"/>
      <c r="H4119" s="3"/>
      <c r="I4119" s="3"/>
    </row>
    <row r="4120" spans="1:9" x14ac:dyDescent="0.3">
      <c r="A4120" s="2"/>
      <c r="H4120" s="3"/>
      <c r="I4120" s="3"/>
    </row>
    <row r="4121" spans="1:9" x14ac:dyDescent="0.3">
      <c r="A4121" s="2"/>
      <c r="H4121" s="3"/>
      <c r="I4121" s="3"/>
    </row>
    <row r="4122" spans="1:9" x14ac:dyDescent="0.3">
      <c r="A4122" s="2"/>
      <c r="H4122" s="3"/>
      <c r="I4122" s="3"/>
    </row>
    <row r="4123" spans="1:9" x14ac:dyDescent="0.3">
      <c r="A4123" s="2"/>
      <c r="H4123" s="3"/>
      <c r="I4123" s="3"/>
    </row>
    <row r="4124" spans="1:9" x14ac:dyDescent="0.3">
      <c r="A4124" s="2"/>
      <c r="H4124" s="3"/>
      <c r="I4124" s="3"/>
    </row>
    <row r="4125" spans="1:9" x14ac:dyDescent="0.3">
      <c r="A4125" s="2"/>
      <c r="H4125" s="3"/>
      <c r="I4125" s="3"/>
    </row>
    <row r="4126" spans="1:9" x14ac:dyDescent="0.3">
      <c r="A4126" s="2"/>
      <c r="H4126" s="3"/>
      <c r="I4126" s="3"/>
    </row>
    <row r="4127" spans="1:9" x14ac:dyDescent="0.3">
      <c r="A4127" s="2"/>
      <c r="H4127" s="3"/>
      <c r="I4127" s="3"/>
    </row>
    <row r="4128" spans="1:9" x14ac:dyDescent="0.3">
      <c r="A4128" s="2"/>
      <c r="H4128" s="3"/>
      <c r="I4128" s="3"/>
    </row>
    <row r="4129" spans="1:9" x14ac:dyDescent="0.3">
      <c r="A4129" s="2"/>
      <c r="H4129" s="3"/>
      <c r="I4129" s="3"/>
    </row>
    <row r="4130" spans="1:9" x14ac:dyDescent="0.3">
      <c r="A4130" s="2"/>
      <c r="H4130" s="3"/>
      <c r="I4130" s="3"/>
    </row>
    <row r="4131" spans="1:9" x14ac:dyDescent="0.3">
      <c r="A4131" s="2"/>
      <c r="H4131" s="3"/>
      <c r="I4131" s="3"/>
    </row>
    <row r="4132" spans="1:9" x14ac:dyDescent="0.3">
      <c r="A4132" s="2"/>
      <c r="H4132" s="3"/>
      <c r="I4132" s="3"/>
    </row>
    <row r="4133" spans="1:9" x14ac:dyDescent="0.3">
      <c r="A4133" s="2"/>
      <c r="H4133" s="3"/>
      <c r="I4133" s="3"/>
    </row>
    <row r="4134" spans="1:9" x14ac:dyDescent="0.3">
      <c r="A4134" s="2"/>
      <c r="H4134" s="3"/>
      <c r="I4134" s="3"/>
    </row>
    <row r="4135" spans="1:9" x14ac:dyDescent="0.3">
      <c r="A4135" s="2"/>
      <c r="H4135" s="3"/>
      <c r="I4135" s="3"/>
    </row>
    <row r="4136" spans="1:9" x14ac:dyDescent="0.3">
      <c r="A4136" s="2"/>
      <c r="H4136" s="3"/>
      <c r="I4136" s="3"/>
    </row>
    <row r="4137" spans="1:9" x14ac:dyDescent="0.3">
      <c r="A4137" s="2"/>
      <c r="H4137" s="3"/>
      <c r="I4137" s="3"/>
    </row>
    <row r="4138" spans="1:9" x14ac:dyDescent="0.3">
      <c r="A4138" s="2"/>
      <c r="H4138" s="3"/>
      <c r="I4138" s="3"/>
    </row>
    <row r="4139" spans="1:9" x14ac:dyDescent="0.3">
      <c r="A4139" s="2"/>
      <c r="H4139" s="3"/>
      <c r="I4139" s="3"/>
    </row>
    <row r="4140" spans="1:9" x14ac:dyDescent="0.3">
      <c r="A4140" s="2"/>
      <c r="H4140" s="3"/>
      <c r="I4140" s="3"/>
    </row>
    <row r="4141" spans="1:9" x14ac:dyDescent="0.3">
      <c r="A4141" s="2"/>
      <c r="H4141" s="3"/>
      <c r="I4141" s="3"/>
    </row>
    <row r="4142" spans="1:9" x14ac:dyDescent="0.3">
      <c r="A4142" s="2"/>
      <c r="H4142" s="3"/>
      <c r="I4142" s="3"/>
    </row>
    <row r="4143" spans="1:9" x14ac:dyDescent="0.3">
      <c r="A4143" s="2"/>
      <c r="H4143" s="3"/>
      <c r="I4143" s="3"/>
    </row>
    <row r="4144" spans="1:9" x14ac:dyDescent="0.3">
      <c r="A4144" s="2"/>
      <c r="H4144" s="3"/>
      <c r="I4144" s="3"/>
    </row>
    <row r="4145" spans="1:9" x14ac:dyDescent="0.3">
      <c r="A4145" s="2"/>
      <c r="H4145" s="3"/>
      <c r="I4145" s="3"/>
    </row>
    <row r="4146" spans="1:9" x14ac:dyDescent="0.3">
      <c r="A4146" s="2"/>
      <c r="H4146" s="3"/>
      <c r="I4146" s="3"/>
    </row>
    <row r="4147" spans="1:9" x14ac:dyDescent="0.3">
      <c r="A4147" s="2"/>
      <c r="H4147" s="3"/>
      <c r="I4147" s="3"/>
    </row>
    <row r="4148" spans="1:9" x14ac:dyDescent="0.3">
      <c r="A4148" s="2"/>
      <c r="H4148" s="3"/>
      <c r="I4148" s="3"/>
    </row>
    <row r="4149" spans="1:9" x14ac:dyDescent="0.3">
      <c r="A4149" s="2"/>
      <c r="H4149" s="3"/>
      <c r="I4149" s="3"/>
    </row>
    <row r="4150" spans="1:9" x14ac:dyDescent="0.3">
      <c r="A4150" s="2"/>
      <c r="H4150" s="3"/>
      <c r="I4150" s="3"/>
    </row>
    <row r="4151" spans="1:9" x14ac:dyDescent="0.3">
      <c r="A4151" s="2"/>
      <c r="H4151" s="3"/>
      <c r="I4151" s="3"/>
    </row>
    <row r="4152" spans="1:9" x14ac:dyDescent="0.3">
      <c r="A4152" s="2"/>
      <c r="H4152" s="3"/>
      <c r="I4152" s="3"/>
    </row>
    <row r="4153" spans="1:9" x14ac:dyDescent="0.3">
      <c r="A4153" s="2"/>
      <c r="H4153" s="3"/>
      <c r="I4153" s="3"/>
    </row>
    <row r="4154" spans="1:9" x14ac:dyDescent="0.3">
      <c r="A4154" s="2"/>
      <c r="H4154" s="3"/>
      <c r="I4154" s="3"/>
    </row>
    <row r="4155" spans="1:9" x14ac:dyDescent="0.3">
      <c r="A4155" s="2"/>
      <c r="H4155" s="3"/>
      <c r="I4155" s="3"/>
    </row>
    <row r="4156" spans="1:9" x14ac:dyDescent="0.3">
      <c r="A4156" s="2"/>
      <c r="H4156" s="3"/>
      <c r="I4156" s="3"/>
    </row>
    <row r="4157" spans="1:9" x14ac:dyDescent="0.3">
      <c r="A4157" s="2"/>
      <c r="H4157" s="3"/>
      <c r="I4157" s="3"/>
    </row>
    <row r="4158" spans="1:9" x14ac:dyDescent="0.3">
      <c r="A4158" s="2"/>
      <c r="H4158" s="3"/>
      <c r="I4158" s="3"/>
    </row>
    <row r="4159" spans="1:9" x14ac:dyDescent="0.3">
      <c r="A4159" s="2"/>
      <c r="H4159" s="3"/>
      <c r="I4159" s="3"/>
    </row>
    <row r="4160" spans="1:9" x14ac:dyDescent="0.3">
      <c r="A4160" s="2"/>
      <c r="H4160" s="3"/>
      <c r="I4160" s="3"/>
    </row>
    <row r="4161" spans="1:9" x14ac:dyDescent="0.3">
      <c r="A4161" s="2"/>
      <c r="H4161" s="3"/>
      <c r="I4161" s="3"/>
    </row>
    <row r="4162" spans="1:9" x14ac:dyDescent="0.3">
      <c r="A4162" s="2"/>
      <c r="H4162" s="3"/>
      <c r="I4162" s="3"/>
    </row>
    <row r="4163" spans="1:9" x14ac:dyDescent="0.3">
      <c r="A4163" s="2"/>
      <c r="H4163" s="3"/>
      <c r="I4163" s="3"/>
    </row>
    <row r="4164" spans="1:9" x14ac:dyDescent="0.3">
      <c r="A4164" s="2"/>
      <c r="H4164" s="3"/>
      <c r="I4164" s="3"/>
    </row>
    <row r="4165" spans="1:9" x14ac:dyDescent="0.3">
      <c r="A4165" s="2"/>
      <c r="H4165" s="3"/>
      <c r="I4165" s="3"/>
    </row>
    <row r="4166" spans="1:9" x14ac:dyDescent="0.3">
      <c r="A4166" s="2"/>
      <c r="H4166" s="3"/>
      <c r="I4166" s="3"/>
    </row>
    <row r="4167" spans="1:9" x14ac:dyDescent="0.3">
      <c r="A4167" s="2"/>
      <c r="H4167" s="3"/>
      <c r="I4167" s="3"/>
    </row>
    <row r="4168" spans="1:9" x14ac:dyDescent="0.3">
      <c r="A4168" s="2"/>
      <c r="H4168" s="3"/>
      <c r="I4168" s="3"/>
    </row>
    <row r="4169" spans="1:9" x14ac:dyDescent="0.3">
      <c r="A4169" s="2"/>
      <c r="H4169" s="3"/>
      <c r="I4169" s="3"/>
    </row>
    <row r="4170" spans="1:9" x14ac:dyDescent="0.3">
      <c r="A4170" s="2"/>
      <c r="H4170" s="3"/>
      <c r="I4170" s="3"/>
    </row>
    <row r="4171" spans="1:9" x14ac:dyDescent="0.3">
      <c r="A4171" s="2"/>
      <c r="H4171" s="3"/>
      <c r="I4171" s="3"/>
    </row>
    <row r="4172" spans="1:9" x14ac:dyDescent="0.3">
      <c r="A4172" s="2"/>
      <c r="H4172" s="3"/>
      <c r="I4172" s="3"/>
    </row>
    <row r="4173" spans="1:9" x14ac:dyDescent="0.3">
      <c r="A4173" s="2"/>
      <c r="H4173" s="3"/>
      <c r="I4173" s="3"/>
    </row>
    <row r="4174" spans="1:9" x14ac:dyDescent="0.3">
      <c r="A4174" s="2"/>
      <c r="H4174" s="3"/>
      <c r="I4174" s="3"/>
    </row>
    <row r="4175" spans="1:9" x14ac:dyDescent="0.3">
      <c r="A4175" s="2"/>
      <c r="H4175" s="3"/>
      <c r="I4175" s="3"/>
    </row>
    <row r="4176" spans="1:9" x14ac:dyDescent="0.3">
      <c r="A4176" s="2"/>
      <c r="H4176" s="3"/>
      <c r="I4176" s="3"/>
    </row>
    <row r="4177" spans="1:9" x14ac:dyDescent="0.3">
      <c r="A4177" s="2"/>
      <c r="H4177" s="3"/>
      <c r="I4177" s="3"/>
    </row>
    <row r="4178" spans="1:9" x14ac:dyDescent="0.3">
      <c r="A4178" s="2"/>
      <c r="H4178" s="3"/>
      <c r="I4178" s="3"/>
    </row>
    <row r="4179" spans="1:9" x14ac:dyDescent="0.3">
      <c r="A4179" s="2"/>
      <c r="H4179" s="3"/>
      <c r="I4179" s="3"/>
    </row>
    <row r="4180" spans="1:9" x14ac:dyDescent="0.3">
      <c r="A4180" s="2"/>
      <c r="H4180" s="3"/>
      <c r="I4180" s="3"/>
    </row>
    <row r="4181" spans="1:9" x14ac:dyDescent="0.3">
      <c r="A4181" s="2"/>
      <c r="H4181" s="3"/>
      <c r="I4181" s="3"/>
    </row>
    <row r="4182" spans="1:9" x14ac:dyDescent="0.3">
      <c r="A4182" s="2"/>
      <c r="H4182" s="3"/>
      <c r="I4182" s="3"/>
    </row>
    <row r="4183" spans="1:9" x14ac:dyDescent="0.3">
      <c r="A4183" s="2"/>
      <c r="H4183" s="3"/>
      <c r="I4183" s="3"/>
    </row>
    <row r="4184" spans="1:9" x14ac:dyDescent="0.3">
      <c r="A4184" s="2"/>
      <c r="H4184" s="3"/>
      <c r="I4184" s="3"/>
    </row>
    <row r="4185" spans="1:9" x14ac:dyDescent="0.3">
      <c r="A4185" s="2"/>
      <c r="H4185" s="3"/>
      <c r="I4185" s="3"/>
    </row>
    <row r="4186" spans="1:9" x14ac:dyDescent="0.3">
      <c r="A4186" s="2"/>
      <c r="H4186" s="3"/>
      <c r="I4186" s="3"/>
    </row>
    <row r="4187" spans="1:9" x14ac:dyDescent="0.3">
      <c r="A4187" s="2"/>
      <c r="H4187" s="3"/>
      <c r="I4187" s="3"/>
    </row>
    <row r="4188" spans="1:9" x14ac:dyDescent="0.3">
      <c r="A4188" s="2"/>
      <c r="H4188" s="3"/>
      <c r="I4188" s="3"/>
    </row>
    <row r="4189" spans="1:9" x14ac:dyDescent="0.3">
      <c r="A4189" s="2"/>
      <c r="H4189" s="3"/>
      <c r="I4189" s="3"/>
    </row>
    <row r="4190" spans="1:9" x14ac:dyDescent="0.3">
      <c r="A4190" s="2"/>
      <c r="H4190" s="3"/>
      <c r="I4190" s="3"/>
    </row>
    <row r="4191" spans="1:9" x14ac:dyDescent="0.3">
      <c r="A4191" s="2"/>
      <c r="H4191" s="3"/>
      <c r="I4191" s="3"/>
    </row>
    <row r="4192" spans="1:9" x14ac:dyDescent="0.3">
      <c r="A4192" s="2"/>
      <c r="H4192" s="3"/>
      <c r="I4192" s="3"/>
    </row>
    <row r="4193" spans="1:9" x14ac:dyDescent="0.3">
      <c r="A4193" s="2"/>
      <c r="H4193" s="3"/>
      <c r="I4193" s="3"/>
    </row>
    <row r="4194" spans="1:9" x14ac:dyDescent="0.3">
      <c r="A4194" s="2"/>
      <c r="H4194" s="3"/>
      <c r="I4194" s="3"/>
    </row>
    <row r="4195" spans="1:9" x14ac:dyDescent="0.3">
      <c r="A4195" s="2"/>
      <c r="H4195" s="3"/>
      <c r="I4195" s="3"/>
    </row>
    <row r="4196" spans="1:9" x14ac:dyDescent="0.3">
      <c r="A4196" s="2"/>
      <c r="H4196" s="3"/>
      <c r="I4196" s="3"/>
    </row>
    <row r="4197" spans="1:9" x14ac:dyDescent="0.3">
      <c r="A4197" s="2"/>
      <c r="H4197" s="3"/>
      <c r="I4197" s="3"/>
    </row>
    <row r="4198" spans="1:9" x14ac:dyDescent="0.3">
      <c r="A4198" s="2"/>
      <c r="H4198" s="3"/>
      <c r="I4198" s="3"/>
    </row>
    <row r="4199" spans="1:9" x14ac:dyDescent="0.3">
      <c r="A4199" s="2"/>
      <c r="H4199" s="3"/>
      <c r="I4199" s="3"/>
    </row>
    <row r="4200" spans="1:9" x14ac:dyDescent="0.3">
      <c r="A4200" s="2"/>
      <c r="H4200" s="3"/>
      <c r="I4200" s="3"/>
    </row>
    <row r="4201" spans="1:9" x14ac:dyDescent="0.3">
      <c r="A4201" s="2"/>
      <c r="H4201" s="3"/>
      <c r="I4201" s="3"/>
    </row>
    <row r="4202" spans="1:9" x14ac:dyDescent="0.3">
      <c r="A4202" s="2"/>
      <c r="H4202" s="3"/>
      <c r="I4202" s="3"/>
    </row>
    <row r="4203" spans="1:9" x14ac:dyDescent="0.3">
      <c r="A4203" s="2"/>
      <c r="H4203" s="3"/>
      <c r="I4203" s="3"/>
    </row>
    <row r="4204" spans="1:9" x14ac:dyDescent="0.3">
      <c r="A4204" s="2"/>
      <c r="H4204" s="3"/>
      <c r="I4204" s="3"/>
    </row>
    <row r="4205" spans="1:9" x14ac:dyDescent="0.3">
      <c r="A4205" s="2"/>
      <c r="H4205" s="3"/>
      <c r="I4205" s="3"/>
    </row>
    <row r="4206" spans="1:9" x14ac:dyDescent="0.3">
      <c r="A4206" s="2"/>
      <c r="H4206" s="3"/>
      <c r="I4206" s="3"/>
    </row>
    <row r="4207" spans="1:9" x14ac:dyDescent="0.3">
      <c r="A4207" s="2"/>
      <c r="H4207" s="3"/>
      <c r="I4207" s="3"/>
    </row>
    <row r="4208" spans="1:9" x14ac:dyDescent="0.3">
      <c r="A4208" s="2"/>
      <c r="H4208" s="3"/>
      <c r="I4208" s="3"/>
    </row>
    <row r="4209" spans="1:9" x14ac:dyDescent="0.3">
      <c r="A4209" s="2"/>
      <c r="H4209" s="3"/>
      <c r="I4209" s="3"/>
    </row>
    <row r="4210" spans="1:9" x14ac:dyDescent="0.3">
      <c r="A4210" s="2"/>
      <c r="H4210" s="3"/>
      <c r="I4210" s="3"/>
    </row>
    <row r="4211" spans="1:9" x14ac:dyDescent="0.3">
      <c r="A4211" s="2"/>
      <c r="H4211" s="3"/>
      <c r="I4211" s="3"/>
    </row>
    <row r="4212" spans="1:9" x14ac:dyDescent="0.3">
      <c r="A4212" s="2"/>
      <c r="H4212" s="3"/>
      <c r="I4212" s="3"/>
    </row>
    <row r="4213" spans="1:9" x14ac:dyDescent="0.3">
      <c r="A4213" s="2"/>
      <c r="H4213" s="3"/>
      <c r="I4213" s="3"/>
    </row>
    <row r="4214" spans="1:9" x14ac:dyDescent="0.3">
      <c r="A4214" s="2"/>
      <c r="H4214" s="3"/>
      <c r="I4214" s="3"/>
    </row>
    <row r="4215" spans="1:9" x14ac:dyDescent="0.3">
      <c r="A4215" s="2"/>
      <c r="H4215" s="3"/>
      <c r="I4215" s="3"/>
    </row>
    <row r="4216" spans="1:9" x14ac:dyDescent="0.3">
      <c r="A4216" s="2"/>
      <c r="H4216" s="3"/>
      <c r="I4216" s="3"/>
    </row>
    <row r="4217" spans="1:9" x14ac:dyDescent="0.3">
      <c r="A4217" s="2"/>
      <c r="H4217" s="3"/>
      <c r="I4217" s="3"/>
    </row>
    <row r="4218" spans="1:9" x14ac:dyDescent="0.3">
      <c r="A4218" s="2"/>
      <c r="H4218" s="3"/>
      <c r="I4218" s="3"/>
    </row>
    <row r="4219" spans="1:9" x14ac:dyDescent="0.3">
      <c r="A4219" s="2"/>
      <c r="H4219" s="3"/>
      <c r="I4219" s="3"/>
    </row>
    <row r="4220" spans="1:9" x14ac:dyDescent="0.3">
      <c r="A4220" s="2"/>
      <c r="H4220" s="3"/>
      <c r="I4220" s="3"/>
    </row>
    <row r="4221" spans="1:9" x14ac:dyDescent="0.3">
      <c r="A4221" s="2"/>
      <c r="H4221" s="3"/>
      <c r="I4221" s="3"/>
    </row>
    <row r="4222" spans="1:9" x14ac:dyDescent="0.3">
      <c r="A4222" s="2"/>
      <c r="H4222" s="3"/>
      <c r="I4222" s="3"/>
    </row>
    <row r="4223" spans="1:9" x14ac:dyDescent="0.3">
      <c r="A4223" s="2"/>
      <c r="H4223" s="3"/>
      <c r="I4223" s="3"/>
    </row>
    <row r="4224" spans="1:9" x14ac:dyDescent="0.3">
      <c r="A4224" s="2"/>
      <c r="H4224" s="3"/>
      <c r="I4224" s="3"/>
    </row>
    <row r="4225" spans="1:9" x14ac:dyDescent="0.3">
      <c r="A4225" s="2"/>
      <c r="H4225" s="3"/>
      <c r="I4225" s="3"/>
    </row>
    <row r="4226" spans="1:9" x14ac:dyDescent="0.3">
      <c r="A4226" s="2"/>
      <c r="H4226" s="3"/>
      <c r="I4226" s="3"/>
    </row>
    <row r="4227" spans="1:9" x14ac:dyDescent="0.3">
      <c r="A4227" s="2"/>
      <c r="H4227" s="3"/>
      <c r="I4227" s="3"/>
    </row>
    <row r="4228" spans="1:9" x14ac:dyDescent="0.3">
      <c r="A4228" s="2"/>
      <c r="H4228" s="3"/>
      <c r="I4228" s="3"/>
    </row>
    <row r="4229" spans="1:9" x14ac:dyDescent="0.3">
      <c r="A4229" s="2"/>
      <c r="H4229" s="3"/>
      <c r="I4229" s="3"/>
    </row>
    <row r="4230" spans="1:9" x14ac:dyDescent="0.3">
      <c r="A4230" s="2"/>
      <c r="H4230" s="3"/>
      <c r="I4230" s="3"/>
    </row>
    <row r="4231" spans="1:9" x14ac:dyDescent="0.3">
      <c r="A4231" s="2"/>
      <c r="H4231" s="3"/>
      <c r="I4231" s="3"/>
    </row>
    <row r="4232" spans="1:9" x14ac:dyDescent="0.3">
      <c r="A4232" s="2"/>
      <c r="H4232" s="3"/>
      <c r="I4232" s="3"/>
    </row>
    <row r="4233" spans="1:9" x14ac:dyDescent="0.3">
      <c r="A4233" s="2"/>
      <c r="H4233" s="3"/>
      <c r="I4233" s="3"/>
    </row>
    <row r="4234" spans="1:9" x14ac:dyDescent="0.3">
      <c r="A4234" s="2"/>
      <c r="H4234" s="3"/>
      <c r="I4234" s="3"/>
    </row>
    <row r="4235" spans="1:9" x14ac:dyDescent="0.3">
      <c r="A4235" s="2"/>
      <c r="H4235" s="3"/>
      <c r="I4235" s="3"/>
    </row>
    <row r="4236" spans="1:9" x14ac:dyDescent="0.3">
      <c r="A4236" s="2"/>
      <c r="H4236" s="3"/>
      <c r="I4236" s="3"/>
    </row>
    <row r="4237" spans="1:9" x14ac:dyDescent="0.3">
      <c r="A4237" s="2"/>
      <c r="H4237" s="3"/>
      <c r="I4237" s="3"/>
    </row>
    <row r="4238" spans="1:9" x14ac:dyDescent="0.3">
      <c r="A4238" s="2"/>
      <c r="H4238" s="3"/>
      <c r="I4238" s="3"/>
    </row>
    <row r="4239" spans="1:9" x14ac:dyDescent="0.3">
      <c r="A4239" s="2"/>
      <c r="H4239" s="3"/>
      <c r="I4239" s="3"/>
    </row>
    <row r="4240" spans="1:9" x14ac:dyDescent="0.3">
      <c r="A4240" s="2"/>
      <c r="H4240" s="3"/>
      <c r="I4240" s="3"/>
    </row>
    <row r="4241" spans="1:9" x14ac:dyDescent="0.3">
      <c r="A4241" s="2"/>
      <c r="H4241" s="3"/>
      <c r="I4241" s="3"/>
    </row>
    <row r="4242" spans="1:9" x14ac:dyDescent="0.3">
      <c r="A4242" s="2"/>
      <c r="H4242" s="3"/>
      <c r="I4242" s="3"/>
    </row>
    <row r="4243" spans="1:9" x14ac:dyDescent="0.3">
      <c r="A4243" s="2"/>
      <c r="H4243" s="3"/>
      <c r="I4243" s="3"/>
    </row>
    <row r="4244" spans="1:9" x14ac:dyDescent="0.3">
      <c r="A4244" s="2"/>
      <c r="H4244" s="3"/>
      <c r="I4244" s="3"/>
    </row>
    <row r="4245" spans="1:9" x14ac:dyDescent="0.3">
      <c r="A4245" s="2"/>
      <c r="H4245" s="3"/>
      <c r="I4245" s="3"/>
    </row>
    <row r="4246" spans="1:9" x14ac:dyDescent="0.3">
      <c r="A4246" s="2"/>
      <c r="H4246" s="3"/>
      <c r="I4246" s="3"/>
    </row>
    <row r="4247" spans="1:9" x14ac:dyDescent="0.3">
      <c r="A4247" s="2"/>
      <c r="H4247" s="3"/>
      <c r="I4247" s="3"/>
    </row>
    <row r="4248" spans="1:9" x14ac:dyDescent="0.3">
      <c r="A4248" s="2"/>
      <c r="H4248" s="3"/>
      <c r="I4248" s="3"/>
    </row>
    <row r="4249" spans="1:9" x14ac:dyDescent="0.3">
      <c r="A4249" s="2"/>
      <c r="H4249" s="3"/>
      <c r="I4249" s="3"/>
    </row>
    <row r="4250" spans="1:9" x14ac:dyDescent="0.3">
      <c r="A4250" s="2"/>
      <c r="H4250" s="3"/>
      <c r="I4250" s="3"/>
    </row>
    <row r="4251" spans="1:9" x14ac:dyDescent="0.3">
      <c r="A4251" s="2"/>
      <c r="H4251" s="3"/>
      <c r="I4251" s="3"/>
    </row>
    <row r="4252" spans="1:9" x14ac:dyDescent="0.3">
      <c r="A4252" s="2"/>
      <c r="H4252" s="3"/>
      <c r="I4252" s="3"/>
    </row>
    <row r="4253" spans="1:9" x14ac:dyDescent="0.3">
      <c r="A4253" s="2"/>
      <c r="H4253" s="3"/>
      <c r="I4253" s="3"/>
    </row>
    <row r="4254" spans="1:9" x14ac:dyDescent="0.3">
      <c r="A4254" s="2"/>
      <c r="H4254" s="3"/>
      <c r="I4254" s="3"/>
    </row>
    <row r="4255" spans="1:9" x14ac:dyDescent="0.3">
      <c r="A4255" s="2"/>
      <c r="H4255" s="3"/>
      <c r="I4255" s="3"/>
    </row>
    <row r="4256" spans="1:9" x14ac:dyDescent="0.3">
      <c r="A4256" s="2"/>
      <c r="H4256" s="3"/>
      <c r="I4256" s="3"/>
    </row>
    <row r="4257" spans="1:9" x14ac:dyDescent="0.3">
      <c r="A4257" s="2"/>
      <c r="H4257" s="3"/>
      <c r="I4257" s="3"/>
    </row>
    <row r="4258" spans="1:9" x14ac:dyDescent="0.3">
      <c r="A4258" s="2"/>
      <c r="H4258" s="3"/>
      <c r="I4258" s="3"/>
    </row>
    <row r="4259" spans="1:9" x14ac:dyDescent="0.3">
      <c r="A4259" s="2"/>
      <c r="H4259" s="3"/>
      <c r="I4259" s="3"/>
    </row>
    <row r="4260" spans="1:9" x14ac:dyDescent="0.3">
      <c r="A4260" s="2"/>
      <c r="H4260" s="3"/>
      <c r="I4260" s="3"/>
    </row>
    <row r="4261" spans="1:9" x14ac:dyDescent="0.3">
      <c r="A4261" s="2"/>
      <c r="H4261" s="3"/>
      <c r="I4261" s="3"/>
    </row>
    <row r="4262" spans="1:9" x14ac:dyDescent="0.3">
      <c r="A4262" s="2"/>
      <c r="H4262" s="3"/>
      <c r="I4262" s="3"/>
    </row>
    <row r="4263" spans="1:9" x14ac:dyDescent="0.3">
      <c r="A4263" s="2"/>
      <c r="H4263" s="3"/>
      <c r="I4263" s="3"/>
    </row>
    <row r="4264" spans="1:9" x14ac:dyDescent="0.3">
      <c r="A4264" s="2"/>
      <c r="H4264" s="3"/>
      <c r="I4264" s="3"/>
    </row>
    <row r="4265" spans="1:9" x14ac:dyDescent="0.3">
      <c r="A4265" s="2"/>
      <c r="H4265" s="3"/>
      <c r="I4265" s="3"/>
    </row>
    <row r="4266" spans="1:9" x14ac:dyDescent="0.3">
      <c r="A4266" s="2"/>
      <c r="H4266" s="3"/>
      <c r="I4266" s="3"/>
    </row>
    <row r="4267" spans="1:9" x14ac:dyDescent="0.3">
      <c r="A4267" s="2"/>
      <c r="H4267" s="3"/>
      <c r="I4267" s="3"/>
    </row>
    <row r="4268" spans="1:9" x14ac:dyDescent="0.3">
      <c r="A4268" s="2"/>
      <c r="H4268" s="3"/>
      <c r="I4268" s="3"/>
    </row>
    <row r="4269" spans="1:9" x14ac:dyDescent="0.3">
      <c r="A4269" s="2"/>
      <c r="H4269" s="3"/>
      <c r="I4269" s="3"/>
    </row>
    <row r="4270" spans="1:9" x14ac:dyDescent="0.3">
      <c r="A4270" s="2"/>
      <c r="H4270" s="3"/>
      <c r="I4270" s="3"/>
    </row>
    <row r="4271" spans="1:9" x14ac:dyDescent="0.3">
      <c r="A4271" s="2"/>
      <c r="H4271" s="3"/>
      <c r="I4271" s="3"/>
    </row>
    <row r="4272" spans="1:9" x14ac:dyDescent="0.3">
      <c r="A4272" s="2"/>
      <c r="H4272" s="3"/>
      <c r="I4272" s="3"/>
    </row>
    <row r="4273" spans="1:9" x14ac:dyDescent="0.3">
      <c r="A4273" s="2"/>
      <c r="H4273" s="3"/>
      <c r="I4273" s="3"/>
    </row>
    <row r="4274" spans="1:9" x14ac:dyDescent="0.3">
      <c r="A4274" s="2"/>
      <c r="H4274" s="3"/>
      <c r="I4274" s="3"/>
    </row>
    <row r="4275" spans="1:9" x14ac:dyDescent="0.3">
      <c r="A4275" s="2"/>
      <c r="H4275" s="3"/>
      <c r="I4275" s="3"/>
    </row>
    <row r="4276" spans="1:9" x14ac:dyDescent="0.3">
      <c r="A4276" s="2"/>
      <c r="H4276" s="3"/>
      <c r="I4276" s="3"/>
    </row>
    <row r="4277" spans="1:9" x14ac:dyDescent="0.3">
      <c r="A4277" s="2"/>
      <c r="H4277" s="3"/>
      <c r="I4277" s="3"/>
    </row>
    <row r="4278" spans="1:9" x14ac:dyDescent="0.3">
      <c r="A4278" s="2"/>
      <c r="H4278" s="3"/>
      <c r="I4278" s="3"/>
    </row>
    <row r="4279" spans="1:9" x14ac:dyDescent="0.3">
      <c r="A4279" s="2"/>
      <c r="H4279" s="3"/>
      <c r="I4279" s="3"/>
    </row>
    <row r="4280" spans="1:9" x14ac:dyDescent="0.3">
      <c r="A4280" s="2"/>
      <c r="H4280" s="3"/>
      <c r="I4280" s="3"/>
    </row>
    <row r="4281" spans="1:9" x14ac:dyDescent="0.3">
      <c r="A4281" s="2"/>
      <c r="H4281" s="3"/>
      <c r="I4281" s="3"/>
    </row>
    <row r="4282" spans="1:9" x14ac:dyDescent="0.3">
      <c r="A4282" s="2"/>
      <c r="H4282" s="3"/>
      <c r="I4282" s="3"/>
    </row>
    <row r="4283" spans="1:9" x14ac:dyDescent="0.3">
      <c r="A4283" s="2"/>
      <c r="H4283" s="3"/>
      <c r="I4283" s="3"/>
    </row>
    <row r="4284" spans="1:9" x14ac:dyDescent="0.3">
      <c r="A4284" s="2"/>
      <c r="H4284" s="3"/>
      <c r="I4284" s="3"/>
    </row>
    <row r="4285" spans="1:9" x14ac:dyDescent="0.3">
      <c r="A4285" s="2"/>
      <c r="H4285" s="3"/>
      <c r="I4285" s="3"/>
    </row>
    <row r="4286" spans="1:9" x14ac:dyDescent="0.3">
      <c r="A4286" s="2"/>
      <c r="H4286" s="3"/>
      <c r="I4286" s="3"/>
    </row>
    <row r="4287" spans="1:9" x14ac:dyDescent="0.3">
      <c r="A4287" s="2"/>
      <c r="H4287" s="3"/>
      <c r="I4287" s="3"/>
    </row>
    <row r="4288" spans="1:9" x14ac:dyDescent="0.3">
      <c r="A4288" s="2"/>
      <c r="H4288" s="3"/>
      <c r="I4288" s="3"/>
    </row>
    <row r="4289" spans="1:9" x14ac:dyDescent="0.3">
      <c r="A4289" s="2"/>
      <c r="H4289" s="3"/>
      <c r="I4289" s="3"/>
    </row>
    <row r="4290" spans="1:9" x14ac:dyDescent="0.3">
      <c r="A4290" s="2"/>
      <c r="H4290" s="3"/>
      <c r="I4290" s="3"/>
    </row>
    <row r="4291" spans="1:9" x14ac:dyDescent="0.3">
      <c r="A4291" s="2"/>
      <c r="H4291" s="3"/>
      <c r="I4291" s="3"/>
    </row>
    <row r="4292" spans="1:9" x14ac:dyDescent="0.3">
      <c r="A4292" s="2"/>
      <c r="H4292" s="3"/>
      <c r="I4292" s="3"/>
    </row>
    <row r="4293" spans="1:9" x14ac:dyDescent="0.3">
      <c r="A4293" s="2"/>
      <c r="H4293" s="3"/>
      <c r="I4293" s="3"/>
    </row>
    <row r="4294" spans="1:9" x14ac:dyDescent="0.3">
      <c r="A4294" s="2"/>
      <c r="H4294" s="3"/>
      <c r="I4294" s="3"/>
    </row>
    <row r="4295" spans="1:9" x14ac:dyDescent="0.3">
      <c r="A4295" s="2"/>
      <c r="H4295" s="3"/>
      <c r="I4295" s="3"/>
    </row>
    <row r="4296" spans="1:9" x14ac:dyDescent="0.3">
      <c r="A4296" s="2"/>
      <c r="H4296" s="3"/>
      <c r="I4296" s="3"/>
    </row>
    <row r="4297" spans="1:9" x14ac:dyDescent="0.3">
      <c r="A4297" s="2"/>
      <c r="H4297" s="3"/>
      <c r="I4297" s="3"/>
    </row>
    <row r="4298" spans="1:9" x14ac:dyDescent="0.3">
      <c r="A4298" s="2"/>
      <c r="H4298" s="3"/>
      <c r="I4298" s="3"/>
    </row>
    <row r="4299" spans="1:9" x14ac:dyDescent="0.3">
      <c r="A4299" s="2"/>
      <c r="H4299" s="3"/>
      <c r="I4299" s="3"/>
    </row>
    <row r="4300" spans="1:9" x14ac:dyDescent="0.3">
      <c r="A4300" s="2"/>
      <c r="H4300" s="3"/>
      <c r="I4300" s="3"/>
    </row>
    <row r="4301" spans="1:9" x14ac:dyDescent="0.3">
      <c r="A4301" s="2"/>
      <c r="H4301" s="3"/>
      <c r="I4301" s="3"/>
    </row>
    <row r="4302" spans="1:9" x14ac:dyDescent="0.3">
      <c r="A4302" s="2"/>
      <c r="H4302" s="3"/>
      <c r="I4302" s="3"/>
    </row>
    <row r="4303" spans="1:9" x14ac:dyDescent="0.3">
      <c r="A4303" s="2"/>
      <c r="H4303" s="3"/>
      <c r="I4303" s="3"/>
    </row>
    <row r="4304" spans="1:9" x14ac:dyDescent="0.3">
      <c r="A4304" s="2"/>
      <c r="H4304" s="3"/>
      <c r="I4304" s="3"/>
    </row>
    <row r="4305" spans="1:9" x14ac:dyDescent="0.3">
      <c r="A4305" s="2"/>
      <c r="H4305" s="3"/>
      <c r="I4305" s="3"/>
    </row>
    <row r="4306" spans="1:9" x14ac:dyDescent="0.3">
      <c r="A4306" s="2"/>
      <c r="H4306" s="3"/>
      <c r="I4306" s="3"/>
    </row>
    <row r="4307" spans="1:9" x14ac:dyDescent="0.3">
      <c r="A4307" s="2"/>
      <c r="H4307" s="3"/>
      <c r="I4307" s="3"/>
    </row>
    <row r="4308" spans="1:9" x14ac:dyDescent="0.3">
      <c r="A4308" s="2"/>
      <c r="H4308" s="3"/>
      <c r="I4308" s="3"/>
    </row>
    <row r="4309" spans="1:9" x14ac:dyDescent="0.3">
      <c r="A4309" s="2"/>
      <c r="H4309" s="3"/>
      <c r="I4309" s="3"/>
    </row>
    <row r="4310" spans="1:9" x14ac:dyDescent="0.3">
      <c r="A4310" s="2"/>
      <c r="H4310" s="3"/>
      <c r="I4310" s="3"/>
    </row>
    <row r="4311" spans="1:9" x14ac:dyDescent="0.3">
      <c r="A4311" s="2"/>
      <c r="H4311" s="3"/>
      <c r="I4311" s="3"/>
    </row>
    <row r="4312" spans="1:9" x14ac:dyDescent="0.3">
      <c r="A4312" s="2"/>
      <c r="H4312" s="3"/>
      <c r="I4312" s="3"/>
    </row>
    <row r="4313" spans="1:9" x14ac:dyDescent="0.3">
      <c r="A4313" s="2"/>
      <c r="H4313" s="3"/>
      <c r="I4313" s="3"/>
    </row>
    <row r="4314" spans="1:9" x14ac:dyDescent="0.3">
      <c r="A4314" s="2"/>
      <c r="H4314" s="3"/>
      <c r="I4314" s="3"/>
    </row>
    <row r="4315" spans="1:9" x14ac:dyDescent="0.3">
      <c r="A4315" s="2"/>
      <c r="H4315" s="3"/>
      <c r="I4315" s="3"/>
    </row>
    <row r="4316" spans="1:9" x14ac:dyDescent="0.3">
      <c r="A4316" s="2"/>
      <c r="H4316" s="3"/>
      <c r="I4316" s="3"/>
    </row>
    <row r="4317" spans="1:9" x14ac:dyDescent="0.3">
      <c r="A4317" s="2"/>
      <c r="H4317" s="3"/>
      <c r="I4317" s="3"/>
    </row>
    <row r="4318" spans="1:9" x14ac:dyDescent="0.3">
      <c r="A4318" s="2"/>
      <c r="H4318" s="3"/>
      <c r="I4318" s="3"/>
    </row>
    <row r="4319" spans="1:9" x14ac:dyDescent="0.3">
      <c r="A4319" s="2"/>
      <c r="H4319" s="3"/>
      <c r="I4319" s="3"/>
    </row>
    <row r="4320" spans="1:9" x14ac:dyDescent="0.3">
      <c r="A4320" s="2"/>
      <c r="H4320" s="3"/>
      <c r="I4320" s="3"/>
    </row>
    <row r="4321" spans="1:9" x14ac:dyDescent="0.3">
      <c r="A4321" s="2"/>
      <c r="H4321" s="3"/>
      <c r="I4321" s="3"/>
    </row>
    <row r="4322" spans="1:9" x14ac:dyDescent="0.3">
      <c r="A4322" s="2"/>
      <c r="H4322" s="3"/>
      <c r="I4322" s="3"/>
    </row>
    <row r="4323" spans="1:9" x14ac:dyDescent="0.3">
      <c r="A4323" s="2"/>
      <c r="H4323" s="3"/>
      <c r="I4323" s="3"/>
    </row>
    <row r="4324" spans="1:9" x14ac:dyDescent="0.3">
      <c r="A4324" s="2"/>
      <c r="H4324" s="3"/>
      <c r="I4324" s="3"/>
    </row>
    <row r="4325" spans="1:9" x14ac:dyDescent="0.3">
      <c r="A4325" s="2"/>
      <c r="H4325" s="3"/>
      <c r="I4325" s="3"/>
    </row>
    <row r="4326" spans="1:9" x14ac:dyDescent="0.3">
      <c r="A4326" s="2"/>
      <c r="H4326" s="3"/>
      <c r="I4326" s="3"/>
    </row>
    <row r="4327" spans="1:9" x14ac:dyDescent="0.3">
      <c r="A4327" s="2"/>
      <c r="H4327" s="3"/>
      <c r="I4327" s="3"/>
    </row>
    <row r="4328" spans="1:9" x14ac:dyDescent="0.3">
      <c r="A4328" s="2"/>
      <c r="H4328" s="3"/>
      <c r="I4328" s="3"/>
    </row>
    <row r="4329" spans="1:9" x14ac:dyDescent="0.3">
      <c r="A4329" s="2"/>
      <c r="H4329" s="3"/>
      <c r="I4329" s="3"/>
    </row>
    <row r="4330" spans="1:9" x14ac:dyDescent="0.3">
      <c r="A4330" s="2"/>
      <c r="H4330" s="3"/>
      <c r="I4330" s="3"/>
    </row>
    <row r="4331" spans="1:9" x14ac:dyDescent="0.3">
      <c r="A4331" s="2"/>
      <c r="H4331" s="3"/>
      <c r="I4331" s="3"/>
    </row>
    <row r="4332" spans="1:9" x14ac:dyDescent="0.3">
      <c r="A4332" s="2"/>
      <c r="H4332" s="3"/>
      <c r="I4332" s="3"/>
    </row>
    <row r="4333" spans="1:9" x14ac:dyDescent="0.3">
      <c r="A4333" s="2"/>
      <c r="H4333" s="3"/>
      <c r="I4333" s="3"/>
    </row>
    <row r="4334" spans="1:9" x14ac:dyDescent="0.3">
      <c r="A4334" s="2"/>
      <c r="H4334" s="3"/>
      <c r="I4334" s="3"/>
    </row>
    <row r="4335" spans="1:9" x14ac:dyDescent="0.3">
      <c r="A4335" s="2"/>
      <c r="H4335" s="3"/>
      <c r="I4335" s="3"/>
    </row>
    <row r="4336" spans="1:9" x14ac:dyDescent="0.3">
      <c r="A4336" s="2"/>
      <c r="H4336" s="3"/>
      <c r="I4336" s="3"/>
    </row>
    <row r="4337" spans="1:9" x14ac:dyDescent="0.3">
      <c r="A4337" s="2"/>
      <c r="H4337" s="3"/>
      <c r="I4337" s="3"/>
    </row>
    <row r="4338" spans="1:9" x14ac:dyDescent="0.3">
      <c r="A4338" s="2"/>
      <c r="H4338" s="3"/>
      <c r="I4338" s="3"/>
    </row>
    <row r="4339" spans="1:9" x14ac:dyDescent="0.3">
      <c r="A4339" s="2"/>
      <c r="H4339" s="3"/>
      <c r="I4339" s="3"/>
    </row>
    <row r="4340" spans="1:9" x14ac:dyDescent="0.3">
      <c r="A4340" s="2"/>
      <c r="H4340" s="3"/>
      <c r="I4340" s="3"/>
    </row>
    <row r="4341" spans="1:9" x14ac:dyDescent="0.3">
      <c r="A4341" s="2"/>
      <c r="H4341" s="3"/>
      <c r="I4341" s="3"/>
    </row>
    <row r="4342" spans="1:9" x14ac:dyDescent="0.3">
      <c r="A4342" s="2"/>
      <c r="H4342" s="3"/>
      <c r="I4342" s="3"/>
    </row>
    <row r="4343" spans="1:9" x14ac:dyDescent="0.3">
      <c r="A4343" s="2"/>
      <c r="H4343" s="3"/>
      <c r="I4343" s="3"/>
    </row>
    <row r="4344" spans="1:9" x14ac:dyDescent="0.3">
      <c r="A4344" s="2"/>
      <c r="H4344" s="3"/>
      <c r="I4344" s="3"/>
    </row>
    <row r="4345" spans="1:9" x14ac:dyDescent="0.3">
      <c r="A4345" s="2"/>
      <c r="H4345" s="3"/>
      <c r="I4345" s="3"/>
    </row>
    <row r="4346" spans="1:9" x14ac:dyDescent="0.3">
      <c r="A4346" s="2"/>
      <c r="H4346" s="3"/>
      <c r="I4346" s="3"/>
    </row>
    <row r="4347" spans="1:9" x14ac:dyDescent="0.3">
      <c r="A4347" s="2"/>
      <c r="H4347" s="3"/>
      <c r="I4347" s="3"/>
    </row>
    <row r="4348" spans="1:9" x14ac:dyDescent="0.3">
      <c r="A4348" s="2"/>
      <c r="H4348" s="3"/>
      <c r="I4348" s="3"/>
    </row>
    <row r="4349" spans="1:9" x14ac:dyDescent="0.3">
      <c r="A4349" s="2"/>
      <c r="H4349" s="3"/>
      <c r="I4349" s="3"/>
    </row>
    <row r="4350" spans="1:9" x14ac:dyDescent="0.3">
      <c r="A4350" s="2"/>
      <c r="H4350" s="3"/>
      <c r="I4350" s="3"/>
    </row>
    <row r="4351" spans="1:9" x14ac:dyDescent="0.3">
      <c r="A4351" s="2"/>
      <c r="H4351" s="3"/>
      <c r="I4351" s="3"/>
    </row>
    <row r="4352" spans="1:9" x14ac:dyDescent="0.3">
      <c r="A4352" s="2"/>
      <c r="H4352" s="3"/>
      <c r="I4352" s="3"/>
    </row>
    <row r="4353" spans="1:9" x14ac:dyDescent="0.3">
      <c r="A4353" s="2"/>
      <c r="H4353" s="3"/>
      <c r="I4353" s="3"/>
    </row>
    <row r="4354" spans="1:9" x14ac:dyDescent="0.3">
      <c r="A4354" s="2"/>
      <c r="H4354" s="3"/>
      <c r="I4354" s="3"/>
    </row>
    <row r="4355" spans="1:9" x14ac:dyDescent="0.3">
      <c r="A4355" s="2"/>
      <c r="H4355" s="3"/>
      <c r="I4355" s="3"/>
    </row>
    <row r="4356" spans="1:9" x14ac:dyDescent="0.3">
      <c r="A4356" s="2"/>
      <c r="H4356" s="3"/>
      <c r="I4356" s="3"/>
    </row>
    <row r="4357" spans="1:9" x14ac:dyDescent="0.3">
      <c r="A4357" s="2"/>
      <c r="H4357" s="3"/>
      <c r="I4357" s="3"/>
    </row>
    <row r="4358" spans="1:9" x14ac:dyDescent="0.3">
      <c r="A4358" s="2"/>
      <c r="H4358" s="3"/>
      <c r="I4358" s="3"/>
    </row>
    <row r="4359" spans="1:9" x14ac:dyDescent="0.3">
      <c r="A4359" s="2"/>
      <c r="H4359" s="3"/>
      <c r="I4359" s="3"/>
    </row>
    <row r="4360" spans="1:9" x14ac:dyDescent="0.3">
      <c r="A4360" s="2"/>
      <c r="H4360" s="3"/>
      <c r="I4360" s="3"/>
    </row>
    <row r="4361" spans="1:9" x14ac:dyDescent="0.3">
      <c r="A4361" s="2"/>
      <c r="H4361" s="3"/>
      <c r="I4361" s="3"/>
    </row>
    <row r="4362" spans="1:9" x14ac:dyDescent="0.3">
      <c r="A4362" s="2"/>
      <c r="H4362" s="3"/>
      <c r="I4362" s="3"/>
    </row>
    <row r="4363" spans="1:9" x14ac:dyDescent="0.3">
      <c r="A4363" s="2"/>
      <c r="H4363" s="3"/>
      <c r="I4363" s="3"/>
    </row>
    <row r="4364" spans="1:9" x14ac:dyDescent="0.3">
      <c r="A4364" s="2"/>
      <c r="H4364" s="3"/>
      <c r="I4364" s="3"/>
    </row>
    <row r="4365" spans="1:9" x14ac:dyDescent="0.3">
      <c r="A4365" s="2"/>
      <c r="H4365" s="3"/>
      <c r="I4365" s="3"/>
    </row>
    <row r="4366" spans="1:9" x14ac:dyDescent="0.3">
      <c r="A4366" s="2"/>
      <c r="H4366" s="3"/>
      <c r="I4366" s="3"/>
    </row>
    <row r="4367" spans="1:9" x14ac:dyDescent="0.3">
      <c r="A4367" s="2"/>
      <c r="H4367" s="3"/>
      <c r="I4367" s="3"/>
    </row>
    <row r="4368" spans="1:9" x14ac:dyDescent="0.3">
      <c r="A4368" s="2"/>
      <c r="H4368" s="3"/>
      <c r="I4368" s="3"/>
    </row>
    <row r="4369" spans="1:9" x14ac:dyDescent="0.3">
      <c r="A4369" s="2"/>
      <c r="H4369" s="3"/>
      <c r="I4369" s="3"/>
    </row>
    <row r="4370" spans="1:9" x14ac:dyDescent="0.3">
      <c r="A4370" s="2"/>
      <c r="H4370" s="3"/>
      <c r="I4370" s="3"/>
    </row>
    <row r="4371" spans="1:9" x14ac:dyDescent="0.3">
      <c r="A4371" s="2"/>
      <c r="H4371" s="3"/>
      <c r="I4371" s="3"/>
    </row>
    <row r="4372" spans="1:9" x14ac:dyDescent="0.3">
      <c r="A4372" s="2"/>
      <c r="H4372" s="3"/>
      <c r="I4372" s="3"/>
    </row>
    <row r="4373" spans="1:9" x14ac:dyDescent="0.3">
      <c r="A4373" s="2"/>
      <c r="H4373" s="3"/>
      <c r="I4373" s="3"/>
    </row>
    <row r="4374" spans="1:9" x14ac:dyDescent="0.3">
      <c r="A4374" s="2"/>
      <c r="H4374" s="3"/>
      <c r="I4374" s="3"/>
    </row>
    <row r="4375" spans="1:9" x14ac:dyDescent="0.3">
      <c r="A4375" s="2"/>
      <c r="H4375" s="3"/>
      <c r="I4375" s="3"/>
    </row>
    <row r="4376" spans="1:9" x14ac:dyDescent="0.3">
      <c r="A4376" s="2"/>
      <c r="H4376" s="3"/>
      <c r="I4376" s="3"/>
    </row>
    <row r="4377" spans="1:9" x14ac:dyDescent="0.3">
      <c r="A4377" s="2"/>
      <c r="H4377" s="3"/>
      <c r="I4377" s="3"/>
    </row>
    <row r="4378" spans="1:9" x14ac:dyDescent="0.3">
      <c r="A4378" s="2"/>
      <c r="H4378" s="3"/>
      <c r="I4378" s="3"/>
    </row>
    <row r="4379" spans="1:9" x14ac:dyDescent="0.3">
      <c r="A4379" s="2"/>
      <c r="H4379" s="3"/>
      <c r="I4379" s="3"/>
    </row>
    <row r="4380" spans="1:9" x14ac:dyDescent="0.3">
      <c r="A4380" s="2"/>
      <c r="H4380" s="3"/>
      <c r="I4380" s="3"/>
    </row>
    <row r="4381" spans="1:9" x14ac:dyDescent="0.3">
      <c r="A4381" s="2"/>
      <c r="H4381" s="3"/>
      <c r="I4381" s="3"/>
    </row>
    <row r="4382" spans="1:9" x14ac:dyDescent="0.3">
      <c r="A4382" s="2"/>
      <c r="H4382" s="3"/>
      <c r="I4382" s="3"/>
    </row>
    <row r="4383" spans="1:9" x14ac:dyDescent="0.3">
      <c r="A4383" s="2"/>
      <c r="H4383" s="3"/>
      <c r="I4383" s="3"/>
    </row>
    <row r="4384" spans="1:9" x14ac:dyDescent="0.3">
      <c r="A4384" s="2"/>
      <c r="H4384" s="3"/>
      <c r="I4384" s="3"/>
    </row>
    <row r="4385" spans="1:9" x14ac:dyDescent="0.3">
      <c r="A4385" s="2"/>
      <c r="H4385" s="3"/>
      <c r="I4385" s="3"/>
    </row>
    <row r="4386" spans="1:9" x14ac:dyDescent="0.3">
      <c r="A4386" s="2"/>
      <c r="H4386" s="3"/>
      <c r="I4386" s="3"/>
    </row>
    <row r="4387" spans="1:9" x14ac:dyDescent="0.3">
      <c r="A4387" s="2"/>
      <c r="H4387" s="3"/>
      <c r="I4387" s="3"/>
    </row>
    <row r="4388" spans="1:9" x14ac:dyDescent="0.3">
      <c r="A4388" s="2"/>
      <c r="H4388" s="3"/>
      <c r="I4388" s="3"/>
    </row>
    <row r="4389" spans="1:9" x14ac:dyDescent="0.3">
      <c r="A4389" s="2"/>
      <c r="H4389" s="3"/>
      <c r="I4389" s="3"/>
    </row>
    <row r="4390" spans="1:9" x14ac:dyDescent="0.3">
      <c r="A4390" s="2"/>
      <c r="H4390" s="3"/>
      <c r="I4390" s="3"/>
    </row>
    <row r="4391" spans="1:9" x14ac:dyDescent="0.3">
      <c r="A4391" s="2"/>
      <c r="H4391" s="3"/>
      <c r="I4391" s="3"/>
    </row>
    <row r="4392" spans="1:9" x14ac:dyDescent="0.3">
      <c r="A4392" s="2"/>
      <c r="H4392" s="3"/>
      <c r="I4392" s="3"/>
    </row>
    <row r="4393" spans="1:9" x14ac:dyDescent="0.3">
      <c r="A4393" s="2"/>
      <c r="H4393" s="3"/>
      <c r="I4393" s="3"/>
    </row>
    <row r="4394" spans="1:9" x14ac:dyDescent="0.3">
      <c r="A4394" s="2"/>
      <c r="H4394" s="3"/>
      <c r="I4394" s="3"/>
    </row>
    <row r="4395" spans="1:9" x14ac:dyDescent="0.3">
      <c r="A4395" s="2"/>
      <c r="H4395" s="3"/>
      <c r="I4395" s="3"/>
    </row>
    <row r="4396" spans="1:9" x14ac:dyDescent="0.3">
      <c r="A4396" s="2"/>
      <c r="H4396" s="3"/>
      <c r="I4396" s="3"/>
    </row>
    <row r="4397" spans="1:9" x14ac:dyDescent="0.3">
      <c r="A4397" s="2"/>
      <c r="H4397" s="3"/>
      <c r="I4397" s="3"/>
    </row>
    <row r="4398" spans="1:9" x14ac:dyDescent="0.3">
      <c r="A4398" s="2"/>
      <c r="H4398" s="3"/>
      <c r="I4398" s="3"/>
    </row>
    <row r="4399" spans="1:9" x14ac:dyDescent="0.3">
      <c r="A4399" s="2"/>
      <c r="H4399" s="3"/>
      <c r="I4399" s="3"/>
    </row>
    <row r="4400" spans="1:9" x14ac:dyDescent="0.3">
      <c r="A4400" s="2"/>
      <c r="H4400" s="3"/>
      <c r="I4400" s="3"/>
    </row>
    <row r="4401" spans="1:9" x14ac:dyDescent="0.3">
      <c r="A4401" s="2"/>
      <c r="H4401" s="3"/>
      <c r="I4401" s="3"/>
    </row>
    <row r="4402" spans="1:9" x14ac:dyDescent="0.3">
      <c r="A4402" s="2"/>
      <c r="H4402" s="3"/>
      <c r="I4402" s="3"/>
    </row>
    <row r="4403" spans="1:9" x14ac:dyDescent="0.3">
      <c r="A4403" s="2"/>
      <c r="H4403" s="3"/>
      <c r="I4403" s="3"/>
    </row>
    <row r="4404" spans="1:9" x14ac:dyDescent="0.3">
      <c r="A4404" s="2"/>
      <c r="H4404" s="3"/>
      <c r="I4404" s="3"/>
    </row>
    <row r="4405" spans="1:9" x14ac:dyDescent="0.3">
      <c r="A4405" s="2"/>
      <c r="H4405" s="3"/>
      <c r="I4405" s="3"/>
    </row>
    <row r="4406" spans="1:9" x14ac:dyDescent="0.3">
      <c r="A4406" s="2"/>
      <c r="H4406" s="3"/>
      <c r="I4406" s="3"/>
    </row>
    <row r="4407" spans="1:9" x14ac:dyDescent="0.3">
      <c r="A4407" s="2"/>
      <c r="H4407" s="3"/>
      <c r="I4407" s="3"/>
    </row>
    <row r="4408" spans="1:9" x14ac:dyDescent="0.3">
      <c r="A4408" s="2"/>
      <c r="H4408" s="3"/>
      <c r="I4408" s="3"/>
    </row>
    <row r="4409" spans="1:9" x14ac:dyDescent="0.3">
      <c r="A4409" s="2"/>
      <c r="H4409" s="3"/>
      <c r="I4409" s="3"/>
    </row>
    <row r="4410" spans="1:9" x14ac:dyDescent="0.3">
      <c r="A4410" s="2"/>
      <c r="H4410" s="3"/>
      <c r="I4410" s="3"/>
    </row>
    <row r="4411" spans="1:9" x14ac:dyDescent="0.3">
      <c r="A4411" s="2"/>
      <c r="H4411" s="3"/>
      <c r="I4411" s="3"/>
    </row>
    <row r="4412" spans="1:9" x14ac:dyDescent="0.3">
      <c r="A4412" s="2"/>
      <c r="H4412" s="3"/>
      <c r="I4412" s="3"/>
    </row>
    <row r="4413" spans="1:9" x14ac:dyDescent="0.3">
      <c r="A4413" s="2"/>
      <c r="H4413" s="3"/>
      <c r="I4413" s="3"/>
    </row>
    <row r="4414" spans="1:9" x14ac:dyDescent="0.3">
      <c r="A4414" s="2"/>
      <c r="H4414" s="3"/>
      <c r="I4414" s="3"/>
    </row>
    <row r="4415" spans="1:9" x14ac:dyDescent="0.3">
      <c r="A4415" s="2"/>
      <c r="H4415" s="3"/>
      <c r="I4415" s="3"/>
    </row>
    <row r="4416" spans="1:9" x14ac:dyDescent="0.3">
      <c r="A4416" s="2"/>
      <c r="H4416" s="3"/>
      <c r="I4416" s="3"/>
    </row>
    <row r="4417" spans="1:9" x14ac:dyDescent="0.3">
      <c r="A4417" s="2"/>
      <c r="H4417" s="3"/>
      <c r="I4417" s="3"/>
    </row>
    <row r="4418" spans="1:9" x14ac:dyDescent="0.3">
      <c r="A4418" s="2"/>
      <c r="H4418" s="3"/>
      <c r="I4418" s="3"/>
    </row>
    <row r="4419" spans="1:9" x14ac:dyDescent="0.3">
      <c r="A4419" s="2"/>
      <c r="H4419" s="3"/>
      <c r="I4419" s="3"/>
    </row>
    <row r="4420" spans="1:9" x14ac:dyDescent="0.3">
      <c r="A4420" s="2"/>
      <c r="H4420" s="3"/>
      <c r="I4420" s="3"/>
    </row>
    <row r="4421" spans="1:9" x14ac:dyDescent="0.3">
      <c r="A4421" s="2"/>
      <c r="H4421" s="3"/>
      <c r="I4421" s="3"/>
    </row>
    <row r="4422" spans="1:9" x14ac:dyDescent="0.3">
      <c r="A4422" s="2"/>
      <c r="H4422" s="3"/>
      <c r="I4422" s="3"/>
    </row>
    <row r="4423" spans="1:9" x14ac:dyDescent="0.3">
      <c r="A4423" s="2"/>
      <c r="H4423" s="3"/>
      <c r="I4423" s="3"/>
    </row>
    <row r="4424" spans="1:9" x14ac:dyDescent="0.3">
      <c r="A4424" s="2"/>
      <c r="H4424" s="3"/>
      <c r="I4424" s="3"/>
    </row>
    <row r="4425" spans="1:9" x14ac:dyDescent="0.3">
      <c r="A4425" s="2"/>
      <c r="H4425" s="3"/>
      <c r="I4425" s="3"/>
    </row>
    <row r="4426" spans="1:9" x14ac:dyDescent="0.3">
      <c r="A4426" s="2"/>
      <c r="H4426" s="3"/>
      <c r="I4426" s="3"/>
    </row>
    <row r="4427" spans="1:9" x14ac:dyDescent="0.3">
      <c r="A4427" s="2"/>
      <c r="H4427" s="3"/>
      <c r="I4427" s="3"/>
    </row>
    <row r="4428" spans="1:9" x14ac:dyDescent="0.3">
      <c r="A4428" s="2"/>
      <c r="H4428" s="3"/>
      <c r="I4428" s="3"/>
    </row>
    <row r="4429" spans="1:9" x14ac:dyDescent="0.3">
      <c r="A4429" s="2"/>
      <c r="H4429" s="3"/>
      <c r="I4429" s="3"/>
    </row>
    <row r="4430" spans="1:9" x14ac:dyDescent="0.3">
      <c r="A4430" s="2"/>
      <c r="H4430" s="3"/>
      <c r="I4430" s="3"/>
    </row>
    <row r="4431" spans="1:9" x14ac:dyDescent="0.3">
      <c r="A4431" s="2"/>
      <c r="H4431" s="3"/>
      <c r="I4431" s="3"/>
    </row>
    <row r="4432" spans="1:9" x14ac:dyDescent="0.3">
      <c r="A4432" s="2"/>
      <c r="H4432" s="3"/>
      <c r="I4432" s="3"/>
    </row>
    <row r="4433" spans="1:9" x14ac:dyDescent="0.3">
      <c r="A4433" s="2"/>
      <c r="H4433" s="3"/>
      <c r="I4433" s="3"/>
    </row>
    <row r="4434" spans="1:9" x14ac:dyDescent="0.3">
      <c r="A4434" s="2"/>
      <c r="H4434" s="3"/>
      <c r="I4434" s="3"/>
    </row>
    <row r="4435" spans="1:9" x14ac:dyDescent="0.3">
      <c r="A4435" s="2"/>
      <c r="H4435" s="3"/>
      <c r="I4435" s="3"/>
    </row>
    <row r="4436" spans="1:9" x14ac:dyDescent="0.3">
      <c r="A4436" s="2"/>
      <c r="H4436" s="3"/>
      <c r="I4436" s="3"/>
    </row>
    <row r="4437" spans="1:9" x14ac:dyDescent="0.3">
      <c r="A4437" s="2"/>
      <c r="H4437" s="3"/>
      <c r="I4437" s="3"/>
    </row>
    <row r="4438" spans="1:9" x14ac:dyDescent="0.3">
      <c r="A4438" s="2"/>
      <c r="H4438" s="3"/>
      <c r="I4438" s="3"/>
    </row>
    <row r="4439" spans="1:9" x14ac:dyDescent="0.3">
      <c r="A4439" s="2"/>
      <c r="H4439" s="3"/>
      <c r="I4439" s="3"/>
    </row>
    <row r="4440" spans="1:9" x14ac:dyDescent="0.3">
      <c r="A4440" s="2"/>
      <c r="H4440" s="3"/>
      <c r="I4440" s="3"/>
    </row>
    <row r="4441" spans="1:9" x14ac:dyDescent="0.3">
      <c r="A4441" s="2"/>
      <c r="H4441" s="3"/>
      <c r="I4441" s="3"/>
    </row>
    <row r="4442" spans="1:9" x14ac:dyDescent="0.3">
      <c r="A4442" s="2"/>
      <c r="H4442" s="3"/>
      <c r="I4442" s="3"/>
    </row>
    <row r="4443" spans="1:9" x14ac:dyDescent="0.3">
      <c r="A4443" s="2"/>
      <c r="H4443" s="3"/>
      <c r="I4443" s="3"/>
    </row>
    <row r="4444" spans="1:9" x14ac:dyDescent="0.3">
      <c r="A4444" s="2"/>
      <c r="H4444" s="3"/>
      <c r="I4444" s="3"/>
    </row>
    <row r="4445" spans="1:9" x14ac:dyDescent="0.3">
      <c r="A4445" s="2"/>
      <c r="H4445" s="3"/>
      <c r="I4445" s="3"/>
    </row>
    <row r="4446" spans="1:9" x14ac:dyDescent="0.3">
      <c r="A4446" s="2"/>
      <c r="H4446" s="3"/>
      <c r="I4446" s="3"/>
    </row>
    <row r="4447" spans="1:9" x14ac:dyDescent="0.3">
      <c r="A4447" s="2"/>
      <c r="H4447" s="3"/>
      <c r="I4447" s="3"/>
    </row>
    <row r="4448" spans="1:9" x14ac:dyDescent="0.3">
      <c r="A4448" s="2"/>
      <c r="H4448" s="3"/>
      <c r="I4448" s="3"/>
    </row>
    <row r="4449" spans="1:9" x14ac:dyDescent="0.3">
      <c r="A4449" s="2"/>
      <c r="H4449" s="3"/>
      <c r="I4449" s="3"/>
    </row>
    <row r="4450" spans="1:9" x14ac:dyDescent="0.3">
      <c r="A4450" s="2"/>
      <c r="H4450" s="3"/>
      <c r="I4450" s="3"/>
    </row>
    <row r="4451" spans="1:9" x14ac:dyDescent="0.3">
      <c r="A4451" s="2"/>
      <c r="H4451" s="3"/>
      <c r="I4451" s="3"/>
    </row>
    <row r="4452" spans="1:9" x14ac:dyDescent="0.3">
      <c r="A4452" s="2"/>
      <c r="H4452" s="3"/>
      <c r="I4452" s="3"/>
    </row>
    <row r="4453" spans="1:9" x14ac:dyDescent="0.3">
      <c r="A4453" s="2"/>
      <c r="H4453" s="3"/>
      <c r="I4453" s="3"/>
    </row>
    <row r="4454" spans="1:9" x14ac:dyDescent="0.3">
      <c r="A4454" s="2"/>
      <c r="H4454" s="3"/>
      <c r="I4454" s="3"/>
    </row>
    <row r="4455" spans="1:9" x14ac:dyDescent="0.3">
      <c r="A4455" s="2"/>
      <c r="H4455" s="3"/>
      <c r="I4455" s="3"/>
    </row>
    <row r="4456" spans="1:9" x14ac:dyDescent="0.3">
      <c r="A4456" s="2"/>
      <c r="H4456" s="3"/>
      <c r="I4456" s="3"/>
    </row>
    <row r="4457" spans="1:9" x14ac:dyDescent="0.3">
      <c r="A4457" s="2"/>
      <c r="H4457" s="3"/>
      <c r="I4457" s="3"/>
    </row>
    <row r="4458" spans="1:9" x14ac:dyDescent="0.3">
      <c r="A4458" s="2"/>
      <c r="H4458" s="3"/>
      <c r="I4458" s="3"/>
    </row>
    <row r="4459" spans="1:9" x14ac:dyDescent="0.3">
      <c r="A4459" s="2"/>
      <c r="H4459" s="3"/>
      <c r="I4459" s="3"/>
    </row>
    <row r="4460" spans="1:9" x14ac:dyDescent="0.3">
      <c r="A4460" s="2"/>
      <c r="H4460" s="3"/>
      <c r="I4460" s="3"/>
    </row>
    <row r="4461" spans="1:9" x14ac:dyDescent="0.3">
      <c r="A4461" s="2"/>
      <c r="H4461" s="3"/>
      <c r="I4461" s="3"/>
    </row>
    <row r="4462" spans="1:9" x14ac:dyDescent="0.3">
      <c r="A4462" s="2"/>
      <c r="H4462" s="3"/>
      <c r="I4462" s="3"/>
    </row>
    <row r="4463" spans="1:9" x14ac:dyDescent="0.3">
      <c r="A4463" s="2"/>
      <c r="H4463" s="3"/>
      <c r="I4463" s="3"/>
    </row>
    <row r="4464" spans="1:9" x14ac:dyDescent="0.3">
      <c r="A4464" s="2"/>
      <c r="H4464" s="3"/>
      <c r="I4464" s="3"/>
    </row>
    <row r="4465" spans="1:9" x14ac:dyDescent="0.3">
      <c r="A4465" s="2"/>
      <c r="H4465" s="3"/>
      <c r="I4465" s="3"/>
    </row>
    <row r="4466" spans="1:9" x14ac:dyDescent="0.3">
      <c r="A4466" s="2"/>
      <c r="H4466" s="3"/>
      <c r="I4466" s="3"/>
    </row>
    <row r="4467" spans="1:9" x14ac:dyDescent="0.3">
      <c r="A4467" s="2"/>
      <c r="H4467" s="3"/>
      <c r="I4467" s="3"/>
    </row>
    <row r="4468" spans="1:9" x14ac:dyDescent="0.3">
      <c r="A4468" s="2"/>
      <c r="H4468" s="3"/>
      <c r="I4468" s="3"/>
    </row>
    <row r="4469" spans="1:9" x14ac:dyDescent="0.3">
      <c r="A4469" s="2"/>
      <c r="H4469" s="3"/>
      <c r="I4469" s="3"/>
    </row>
    <row r="4470" spans="1:9" x14ac:dyDescent="0.3">
      <c r="A4470" s="2"/>
      <c r="H4470" s="3"/>
      <c r="I4470" s="3"/>
    </row>
    <row r="4471" spans="1:9" x14ac:dyDescent="0.3">
      <c r="A4471" s="2"/>
      <c r="H4471" s="3"/>
      <c r="I4471" s="3"/>
    </row>
    <row r="4472" spans="1:9" x14ac:dyDescent="0.3">
      <c r="A4472" s="2"/>
      <c r="H4472" s="3"/>
      <c r="I4472" s="3"/>
    </row>
    <row r="4473" spans="1:9" x14ac:dyDescent="0.3">
      <c r="A4473" s="2"/>
      <c r="H4473" s="3"/>
      <c r="I4473" s="3"/>
    </row>
    <row r="4474" spans="1:9" x14ac:dyDescent="0.3">
      <c r="A4474" s="2"/>
      <c r="H4474" s="3"/>
      <c r="I4474" s="3"/>
    </row>
    <row r="4475" spans="1:9" x14ac:dyDescent="0.3">
      <c r="A4475" s="2"/>
      <c r="H4475" s="3"/>
      <c r="I4475" s="3"/>
    </row>
    <row r="4476" spans="1:9" x14ac:dyDescent="0.3">
      <c r="A4476" s="2"/>
      <c r="H4476" s="3"/>
      <c r="I4476" s="3"/>
    </row>
    <row r="4477" spans="1:9" x14ac:dyDescent="0.3">
      <c r="A4477" s="2"/>
      <c r="H4477" s="3"/>
      <c r="I4477" s="3"/>
    </row>
    <row r="4478" spans="1:9" x14ac:dyDescent="0.3">
      <c r="A4478" s="2"/>
      <c r="H4478" s="3"/>
      <c r="I4478" s="3"/>
    </row>
    <row r="4479" spans="1:9" x14ac:dyDescent="0.3">
      <c r="A4479" s="2"/>
      <c r="H4479" s="3"/>
      <c r="I4479" s="3"/>
    </row>
    <row r="4480" spans="1:9" x14ac:dyDescent="0.3">
      <c r="A4480" s="2"/>
      <c r="H4480" s="3"/>
      <c r="I4480" s="3"/>
    </row>
    <row r="4481" spans="1:9" x14ac:dyDescent="0.3">
      <c r="A4481" s="2"/>
      <c r="H4481" s="3"/>
      <c r="I4481" s="3"/>
    </row>
    <row r="4482" spans="1:9" x14ac:dyDescent="0.3">
      <c r="A4482" s="2"/>
      <c r="H4482" s="3"/>
      <c r="I4482" s="3"/>
    </row>
    <row r="4483" spans="1:9" x14ac:dyDescent="0.3">
      <c r="A4483" s="2"/>
      <c r="H4483" s="3"/>
      <c r="I4483" s="3"/>
    </row>
    <row r="4484" spans="1:9" x14ac:dyDescent="0.3">
      <c r="A4484" s="2"/>
      <c r="H4484" s="3"/>
      <c r="I4484" s="3"/>
    </row>
    <row r="4485" spans="1:9" x14ac:dyDescent="0.3">
      <c r="A4485" s="2"/>
      <c r="H4485" s="3"/>
      <c r="I4485" s="3"/>
    </row>
    <row r="4486" spans="1:9" x14ac:dyDescent="0.3">
      <c r="A4486" s="2"/>
      <c r="H4486" s="3"/>
      <c r="I4486" s="3"/>
    </row>
    <row r="4487" spans="1:9" x14ac:dyDescent="0.3">
      <c r="A4487" s="2"/>
      <c r="H4487" s="3"/>
      <c r="I4487" s="3"/>
    </row>
    <row r="4488" spans="1:9" x14ac:dyDescent="0.3">
      <c r="A4488" s="2"/>
      <c r="H4488" s="3"/>
      <c r="I4488" s="3"/>
    </row>
    <row r="4489" spans="1:9" x14ac:dyDescent="0.3">
      <c r="A4489" s="2"/>
      <c r="H4489" s="3"/>
      <c r="I4489" s="3"/>
    </row>
    <row r="4490" spans="1:9" x14ac:dyDescent="0.3">
      <c r="A4490" s="2"/>
      <c r="H4490" s="3"/>
      <c r="I4490" s="3"/>
    </row>
    <row r="4491" spans="1:9" x14ac:dyDescent="0.3">
      <c r="A4491" s="2"/>
      <c r="H4491" s="3"/>
      <c r="I4491" s="3"/>
    </row>
    <row r="4492" spans="1:9" x14ac:dyDescent="0.3">
      <c r="A4492" s="2"/>
      <c r="H4492" s="3"/>
      <c r="I4492" s="3"/>
    </row>
    <row r="4493" spans="1:9" x14ac:dyDescent="0.3">
      <c r="A4493" s="2"/>
      <c r="H4493" s="3"/>
      <c r="I4493" s="3"/>
    </row>
    <row r="4494" spans="1:9" x14ac:dyDescent="0.3">
      <c r="A4494" s="2"/>
      <c r="H4494" s="3"/>
      <c r="I4494" s="3"/>
    </row>
    <row r="4495" spans="1:9" x14ac:dyDescent="0.3">
      <c r="A4495" s="2"/>
      <c r="H4495" s="3"/>
      <c r="I4495" s="3"/>
    </row>
    <row r="4496" spans="1:9" x14ac:dyDescent="0.3">
      <c r="A4496" s="2"/>
      <c r="H4496" s="3"/>
      <c r="I4496" s="3"/>
    </row>
    <row r="4497" spans="1:9" x14ac:dyDescent="0.3">
      <c r="A4497" s="2"/>
      <c r="H4497" s="3"/>
      <c r="I4497" s="3"/>
    </row>
    <row r="4498" spans="1:9" x14ac:dyDescent="0.3">
      <c r="A4498" s="2"/>
      <c r="H4498" s="3"/>
      <c r="I4498" s="3"/>
    </row>
    <row r="4499" spans="1:9" x14ac:dyDescent="0.3">
      <c r="A4499" s="2"/>
      <c r="H4499" s="3"/>
      <c r="I4499" s="3"/>
    </row>
    <row r="4500" spans="1:9" x14ac:dyDescent="0.3">
      <c r="A4500" s="2"/>
      <c r="H4500" s="3"/>
      <c r="I4500" s="3"/>
    </row>
    <row r="4501" spans="1:9" x14ac:dyDescent="0.3">
      <c r="A4501" s="2"/>
      <c r="H4501" s="3"/>
      <c r="I4501" s="3"/>
    </row>
    <row r="4502" spans="1:9" x14ac:dyDescent="0.3">
      <c r="A4502" s="2"/>
      <c r="H4502" s="3"/>
      <c r="I4502" s="3"/>
    </row>
    <row r="4503" spans="1:9" x14ac:dyDescent="0.3">
      <c r="A4503" s="2"/>
      <c r="H4503" s="3"/>
      <c r="I4503" s="3"/>
    </row>
    <row r="4504" spans="1:9" x14ac:dyDescent="0.3">
      <c r="A4504" s="2"/>
      <c r="H4504" s="3"/>
      <c r="I4504" s="3"/>
    </row>
    <row r="4505" spans="1:9" x14ac:dyDescent="0.3">
      <c r="A4505" s="2"/>
      <c r="H4505" s="3"/>
      <c r="I4505" s="3"/>
    </row>
    <row r="4506" spans="1:9" x14ac:dyDescent="0.3">
      <c r="A4506" s="2"/>
      <c r="H4506" s="3"/>
      <c r="I4506" s="3"/>
    </row>
    <row r="4507" spans="1:9" x14ac:dyDescent="0.3">
      <c r="A4507" s="2"/>
      <c r="H4507" s="3"/>
      <c r="I4507" s="3"/>
    </row>
    <row r="4508" spans="1:9" x14ac:dyDescent="0.3">
      <c r="A4508" s="2"/>
      <c r="H4508" s="3"/>
      <c r="I4508" s="3"/>
    </row>
    <row r="4509" spans="1:9" x14ac:dyDescent="0.3">
      <c r="A4509" s="2"/>
      <c r="H4509" s="3"/>
      <c r="I4509" s="3"/>
    </row>
    <row r="4510" spans="1:9" x14ac:dyDescent="0.3">
      <c r="A4510" s="2"/>
      <c r="H4510" s="3"/>
      <c r="I4510" s="3"/>
    </row>
    <row r="4511" spans="1:9" x14ac:dyDescent="0.3">
      <c r="A4511" s="2"/>
      <c r="H4511" s="3"/>
      <c r="I4511" s="3"/>
    </row>
    <row r="4512" spans="1:9" x14ac:dyDescent="0.3">
      <c r="A4512" s="2"/>
      <c r="H4512" s="3"/>
      <c r="I4512" s="3"/>
    </row>
    <row r="4513" spans="1:9" x14ac:dyDescent="0.3">
      <c r="A4513" s="2"/>
      <c r="H4513" s="3"/>
      <c r="I4513" s="3"/>
    </row>
    <row r="4514" spans="1:9" x14ac:dyDescent="0.3">
      <c r="A4514" s="2"/>
      <c r="H4514" s="3"/>
      <c r="I4514" s="3"/>
    </row>
    <row r="4515" spans="1:9" x14ac:dyDescent="0.3">
      <c r="A4515" s="2"/>
      <c r="H4515" s="3"/>
      <c r="I4515" s="3"/>
    </row>
    <row r="4516" spans="1:9" x14ac:dyDescent="0.3">
      <c r="A4516" s="2"/>
      <c r="H4516" s="3"/>
      <c r="I4516" s="3"/>
    </row>
    <row r="4517" spans="1:9" x14ac:dyDescent="0.3">
      <c r="A4517" s="2"/>
      <c r="H4517" s="3"/>
      <c r="I4517" s="3"/>
    </row>
    <row r="4518" spans="1:9" x14ac:dyDescent="0.3">
      <c r="A4518" s="2"/>
      <c r="H4518" s="3"/>
      <c r="I4518" s="3"/>
    </row>
    <row r="4519" spans="1:9" x14ac:dyDescent="0.3">
      <c r="A4519" s="2"/>
      <c r="H4519" s="3"/>
      <c r="I4519" s="3"/>
    </row>
    <row r="4520" spans="1:9" x14ac:dyDescent="0.3">
      <c r="A4520" s="2"/>
      <c r="H4520" s="3"/>
      <c r="I4520" s="3"/>
    </row>
    <row r="4521" spans="1:9" x14ac:dyDescent="0.3">
      <c r="A4521" s="2"/>
      <c r="H4521" s="3"/>
      <c r="I4521" s="3"/>
    </row>
    <row r="4522" spans="1:9" x14ac:dyDescent="0.3">
      <c r="A4522" s="2"/>
      <c r="H4522" s="3"/>
      <c r="I4522" s="3"/>
    </row>
    <row r="4523" spans="1:9" x14ac:dyDescent="0.3">
      <c r="A4523" s="2"/>
      <c r="H4523" s="3"/>
      <c r="I4523" s="3"/>
    </row>
    <row r="4524" spans="1:9" x14ac:dyDescent="0.3">
      <c r="A4524" s="2"/>
      <c r="H4524" s="3"/>
      <c r="I4524" s="3"/>
    </row>
    <row r="4525" spans="1:9" x14ac:dyDescent="0.3">
      <c r="A4525" s="2"/>
      <c r="H4525" s="3"/>
      <c r="I4525" s="3"/>
    </row>
    <row r="4526" spans="1:9" x14ac:dyDescent="0.3">
      <c r="A4526" s="2"/>
      <c r="H4526" s="3"/>
      <c r="I4526" s="3"/>
    </row>
    <row r="4527" spans="1:9" x14ac:dyDescent="0.3">
      <c r="A4527" s="2"/>
      <c r="H4527" s="3"/>
      <c r="I4527" s="3"/>
    </row>
    <row r="4528" spans="1:9" x14ac:dyDescent="0.3">
      <c r="A4528" s="2"/>
      <c r="H4528" s="3"/>
      <c r="I4528" s="3"/>
    </row>
    <row r="4529" spans="1:9" x14ac:dyDescent="0.3">
      <c r="A4529" s="2"/>
      <c r="H4529" s="3"/>
      <c r="I4529" s="3"/>
    </row>
    <row r="4530" spans="1:9" x14ac:dyDescent="0.3">
      <c r="A4530" s="2"/>
      <c r="H4530" s="3"/>
      <c r="I4530" s="3"/>
    </row>
    <row r="4531" spans="1:9" x14ac:dyDescent="0.3">
      <c r="A4531" s="2"/>
      <c r="H4531" s="3"/>
      <c r="I4531" s="3"/>
    </row>
    <row r="4532" spans="1:9" x14ac:dyDescent="0.3">
      <c r="A4532" s="2"/>
      <c r="H4532" s="3"/>
      <c r="I4532" s="3"/>
    </row>
    <row r="4533" spans="1:9" x14ac:dyDescent="0.3">
      <c r="A4533" s="2"/>
      <c r="H4533" s="3"/>
      <c r="I4533" s="3"/>
    </row>
    <row r="4534" spans="1:9" x14ac:dyDescent="0.3">
      <c r="A4534" s="2"/>
      <c r="H4534" s="3"/>
      <c r="I4534" s="3"/>
    </row>
    <row r="4535" spans="1:9" x14ac:dyDescent="0.3">
      <c r="A4535" s="2"/>
      <c r="H4535" s="3"/>
      <c r="I4535" s="3"/>
    </row>
    <row r="4536" spans="1:9" x14ac:dyDescent="0.3">
      <c r="A4536" s="2"/>
      <c r="H4536" s="3"/>
      <c r="I4536" s="3"/>
    </row>
    <row r="4537" spans="1:9" x14ac:dyDescent="0.3">
      <c r="A4537" s="2"/>
      <c r="H4537" s="3"/>
      <c r="I4537" s="3"/>
    </row>
    <row r="4538" spans="1:9" x14ac:dyDescent="0.3">
      <c r="A4538" s="2"/>
      <c r="H4538" s="3"/>
      <c r="I4538" s="3"/>
    </row>
    <row r="4539" spans="1:9" x14ac:dyDescent="0.3">
      <c r="A4539" s="2"/>
      <c r="H4539" s="3"/>
      <c r="I4539" s="3"/>
    </row>
    <row r="4540" spans="1:9" x14ac:dyDescent="0.3">
      <c r="A4540" s="2"/>
      <c r="H4540" s="3"/>
      <c r="I4540" s="3"/>
    </row>
    <row r="4541" spans="1:9" x14ac:dyDescent="0.3">
      <c r="A4541" s="2"/>
      <c r="H4541" s="3"/>
      <c r="I4541" s="3"/>
    </row>
    <row r="4542" spans="1:9" x14ac:dyDescent="0.3">
      <c r="A4542" s="2"/>
      <c r="H4542" s="3"/>
      <c r="I4542" s="3"/>
    </row>
    <row r="4543" spans="1:9" x14ac:dyDescent="0.3">
      <c r="A4543" s="2"/>
      <c r="H4543" s="3"/>
      <c r="I4543" s="3"/>
    </row>
    <row r="4544" spans="1:9" x14ac:dyDescent="0.3">
      <c r="A4544" s="2"/>
      <c r="H4544" s="3"/>
      <c r="I4544" s="3"/>
    </row>
    <row r="4545" spans="1:9" x14ac:dyDescent="0.3">
      <c r="A4545" s="2"/>
      <c r="H4545" s="3"/>
      <c r="I4545" s="3"/>
    </row>
    <row r="4546" spans="1:9" x14ac:dyDescent="0.3">
      <c r="A4546" s="2"/>
      <c r="H4546" s="3"/>
      <c r="I4546" s="3"/>
    </row>
    <row r="4547" spans="1:9" x14ac:dyDescent="0.3">
      <c r="A4547" s="2"/>
      <c r="H4547" s="3"/>
      <c r="I4547" s="3"/>
    </row>
    <row r="4548" spans="1:9" x14ac:dyDescent="0.3">
      <c r="A4548" s="2"/>
      <c r="H4548" s="3"/>
      <c r="I4548" s="3"/>
    </row>
    <row r="4549" spans="1:9" x14ac:dyDescent="0.3">
      <c r="A4549" s="2"/>
      <c r="H4549" s="3"/>
      <c r="I4549" s="3"/>
    </row>
    <row r="4550" spans="1:9" x14ac:dyDescent="0.3">
      <c r="A4550" s="2"/>
      <c r="H4550" s="3"/>
      <c r="I4550" s="3"/>
    </row>
    <row r="4551" spans="1:9" x14ac:dyDescent="0.3">
      <c r="A4551" s="2"/>
      <c r="H4551" s="3"/>
      <c r="I4551" s="3"/>
    </row>
    <row r="4552" spans="1:9" x14ac:dyDescent="0.3">
      <c r="A4552" s="2"/>
      <c r="H4552" s="3"/>
      <c r="I4552" s="3"/>
    </row>
    <row r="4553" spans="1:9" x14ac:dyDescent="0.3">
      <c r="A4553" s="2"/>
      <c r="H4553" s="3"/>
      <c r="I4553" s="3"/>
    </row>
    <row r="4554" spans="1:9" x14ac:dyDescent="0.3">
      <c r="A4554" s="2"/>
      <c r="H4554" s="3"/>
      <c r="I4554" s="3"/>
    </row>
    <row r="4555" spans="1:9" x14ac:dyDescent="0.3">
      <c r="A4555" s="2"/>
      <c r="H4555" s="3"/>
      <c r="I4555" s="3"/>
    </row>
    <row r="4556" spans="1:9" x14ac:dyDescent="0.3">
      <c r="A4556" s="2"/>
      <c r="H4556" s="3"/>
      <c r="I4556" s="3"/>
    </row>
    <row r="4557" spans="1:9" x14ac:dyDescent="0.3">
      <c r="A4557" s="2"/>
      <c r="H4557" s="3"/>
      <c r="I4557" s="3"/>
    </row>
    <row r="4558" spans="1:9" x14ac:dyDescent="0.3">
      <c r="A4558" s="2"/>
      <c r="H4558" s="3"/>
      <c r="I4558" s="3"/>
    </row>
    <row r="4559" spans="1:9" x14ac:dyDescent="0.3">
      <c r="A4559" s="2"/>
      <c r="H4559" s="3"/>
      <c r="I4559" s="3"/>
    </row>
    <row r="4560" spans="1:9" x14ac:dyDescent="0.3">
      <c r="A4560" s="2"/>
      <c r="H4560" s="3"/>
      <c r="I4560" s="3"/>
    </row>
    <row r="4561" spans="1:9" x14ac:dyDescent="0.3">
      <c r="A4561" s="2"/>
      <c r="H4561" s="3"/>
      <c r="I4561" s="3"/>
    </row>
    <row r="4562" spans="1:9" x14ac:dyDescent="0.3">
      <c r="A4562" s="2"/>
      <c r="H4562" s="3"/>
      <c r="I4562" s="3"/>
    </row>
    <row r="4563" spans="1:9" x14ac:dyDescent="0.3">
      <c r="A4563" s="2"/>
      <c r="H4563" s="3"/>
      <c r="I4563" s="3"/>
    </row>
    <row r="4564" spans="1:9" x14ac:dyDescent="0.3">
      <c r="A4564" s="2"/>
      <c r="H4564" s="3"/>
      <c r="I4564" s="3"/>
    </row>
    <row r="4565" spans="1:9" x14ac:dyDescent="0.3">
      <c r="A4565" s="2"/>
      <c r="H4565" s="3"/>
      <c r="I4565" s="3"/>
    </row>
    <row r="4566" spans="1:9" x14ac:dyDescent="0.3">
      <c r="A4566" s="2"/>
      <c r="H4566" s="3"/>
      <c r="I4566" s="3"/>
    </row>
    <row r="4567" spans="1:9" x14ac:dyDescent="0.3">
      <c r="A4567" s="2"/>
      <c r="H4567" s="3"/>
      <c r="I4567" s="3"/>
    </row>
    <row r="4568" spans="1:9" x14ac:dyDescent="0.3">
      <c r="A4568" s="2"/>
      <c r="H4568" s="3"/>
      <c r="I4568" s="3"/>
    </row>
    <row r="4569" spans="1:9" x14ac:dyDescent="0.3">
      <c r="A4569" s="2"/>
      <c r="H4569" s="3"/>
      <c r="I4569" s="3"/>
    </row>
    <row r="4570" spans="1:9" x14ac:dyDescent="0.3">
      <c r="A4570" s="2"/>
      <c r="H4570" s="3"/>
      <c r="I4570" s="3"/>
    </row>
    <row r="4571" spans="1:9" x14ac:dyDescent="0.3">
      <c r="A4571" s="2"/>
      <c r="H4571" s="3"/>
      <c r="I4571" s="3"/>
    </row>
    <row r="4572" spans="1:9" x14ac:dyDescent="0.3">
      <c r="A4572" s="2"/>
      <c r="H4572" s="3"/>
      <c r="I4572" s="3"/>
    </row>
    <row r="4573" spans="1:9" x14ac:dyDescent="0.3">
      <c r="A4573" s="2"/>
      <c r="H4573" s="3"/>
      <c r="I4573" s="3"/>
    </row>
    <row r="4574" spans="1:9" x14ac:dyDescent="0.3">
      <c r="A4574" s="2"/>
      <c r="H4574" s="3"/>
      <c r="I4574" s="3"/>
    </row>
    <row r="4575" spans="1:9" x14ac:dyDescent="0.3">
      <c r="A4575" s="2"/>
      <c r="H4575" s="3"/>
      <c r="I4575" s="3"/>
    </row>
    <row r="4576" spans="1:9" x14ac:dyDescent="0.3">
      <c r="A4576" s="2"/>
      <c r="H4576" s="3"/>
      <c r="I4576" s="3"/>
    </row>
    <row r="4577" spans="1:9" x14ac:dyDescent="0.3">
      <c r="A4577" s="2"/>
      <c r="H4577" s="3"/>
      <c r="I4577" s="3"/>
    </row>
    <row r="4578" spans="1:9" x14ac:dyDescent="0.3">
      <c r="A4578" s="2"/>
      <c r="H4578" s="3"/>
      <c r="I4578" s="3"/>
    </row>
    <row r="4579" spans="1:9" x14ac:dyDescent="0.3">
      <c r="A4579" s="2"/>
      <c r="H4579" s="3"/>
      <c r="I4579" s="3"/>
    </row>
    <row r="4580" spans="1:9" x14ac:dyDescent="0.3">
      <c r="A4580" s="2"/>
      <c r="H4580" s="3"/>
      <c r="I4580" s="3"/>
    </row>
    <row r="4581" spans="1:9" x14ac:dyDescent="0.3">
      <c r="A4581" s="2"/>
      <c r="H4581" s="3"/>
      <c r="I4581" s="3"/>
    </row>
    <row r="4582" spans="1:9" x14ac:dyDescent="0.3">
      <c r="A4582" s="2"/>
      <c r="H4582" s="3"/>
      <c r="I4582" s="3"/>
    </row>
    <row r="4583" spans="1:9" x14ac:dyDescent="0.3">
      <c r="A4583" s="2"/>
      <c r="H4583" s="3"/>
      <c r="I4583" s="3"/>
    </row>
    <row r="4584" spans="1:9" x14ac:dyDescent="0.3">
      <c r="A4584" s="2"/>
      <c r="H4584" s="3"/>
      <c r="I4584" s="3"/>
    </row>
    <row r="4585" spans="1:9" x14ac:dyDescent="0.3">
      <c r="A4585" s="2"/>
      <c r="H4585" s="3"/>
      <c r="I4585" s="3"/>
    </row>
    <row r="4586" spans="1:9" x14ac:dyDescent="0.3">
      <c r="A4586" s="2"/>
      <c r="H4586" s="3"/>
      <c r="I4586" s="3"/>
    </row>
    <row r="4587" spans="1:9" x14ac:dyDescent="0.3">
      <c r="A4587" s="2"/>
      <c r="H4587" s="3"/>
      <c r="I4587" s="3"/>
    </row>
    <row r="4588" spans="1:9" x14ac:dyDescent="0.3">
      <c r="A4588" s="2"/>
      <c r="H4588" s="3"/>
      <c r="I4588" s="3"/>
    </row>
    <row r="4589" spans="1:9" x14ac:dyDescent="0.3">
      <c r="A4589" s="2"/>
      <c r="H4589" s="3"/>
      <c r="I4589" s="3"/>
    </row>
    <row r="4590" spans="1:9" x14ac:dyDescent="0.3">
      <c r="A4590" s="2"/>
      <c r="H4590" s="3"/>
      <c r="I4590" s="3"/>
    </row>
    <row r="4591" spans="1:9" x14ac:dyDescent="0.3">
      <c r="A4591" s="2"/>
      <c r="H4591" s="3"/>
      <c r="I4591" s="3"/>
    </row>
    <row r="4592" spans="1:9" x14ac:dyDescent="0.3">
      <c r="A4592" s="2"/>
      <c r="H4592" s="3"/>
      <c r="I4592" s="3"/>
    </row>
    <row r="4593" spans="1:9" x14ac:dyDescent="0.3">
      <c r="A4593" s="2"/>
      <c r="H4593" s="3"/>
      <c r="I4593" s="3"/>
    </row>
    <row r="4594" spans="1:9" x14ac:dyDescent="0.3">
      <c r="A4594" s="2"/>
      <c r="H4594" s="3"/>
      <c r="I4594" s="3"/>
    </row>
    <row r="4595" spans="1:9" x14ac:dyDescent="0.3">
      <c r="A4595" s="2"/>
      <c r="H4595" s="3"/>
      <c r="I4595" s="3"/>
    </row>
    <row r="4596" spans="1:9" x14ac:dyDescent="0.3">
      <c r="A4596" s="2"/>
      <c r="H4596" s="3"/>
      <c r="I4596" s="3"/>
    </row>
    <row r="4597" spans="1:9" x14ac:dyDescent="0.3">
      <c r="A4597" s="2"/>
      <c r="H4597" s="3"/>
      <c r="I4597" s="3"/>
    </row>
    <row r="4598" spans="1:9" x14ac:dyDescent="0.3">
      <c r="A4598" s="2"/>
      <c r="H4598" s="3"/>
      <c r="I4598" s="3"/>
    </row>
    <row r="4599" spans="1:9" x14ac:dyDescent="0.3">
      <c r="A4599" s="2"/>
      <c r="H4599" s="3"/>
      <c r="I4599" s="3"/>
    </row>
    <row r="4600" spans="1:9" x14ac:dyDescent="0.3">
      <c r="A4600" s="2"/>
      <c r="H4600" s="3"/>
      <c r="I4600" s="3"/>
    </row>
    <row r="4601" spans="1:9" x14ac:dyDescent="0.3">
      <c r="A4601" s="2"/>
      <c r="H4601" s="3"/>
      <c r="I4601" s="3"/>
    </row>
    <row r="4602" spans="1:9" x14ac:dyDescent="0.3">
      <c r="A4602" s="2"/>
      <c r="H4602" s="3"/>
      <c r="I4602" s="3"/>
    </row>
    <row r="4603" spans="1:9" x14ac:dyDescent="0.3">
      <c r="A4603" s="2"/>
      <c r="H4603" s="3"/>
      <c r="I4603" s="3"/>
    </row>
    <row r="4604" spans="1:9" x14ac:dyDescent="0.3">
      <c r="A4604" s="2"/>
      <c r="H4604" s="3"/>
      <c r="I4604" s="3"/>
    </row>
    <row r="4605" spans="1:9" x14ac:dyDescent="0.3">
      <c r="A4605" s="2"/>
      <c r="H4605" s="3"/>
      <c r="I4605" s="3"/>
    </row>
    <row r="4606" spans="1:9" x14ac:dyDescent="0.3">
      <c r="A4606" s="2"/>
      <c r="H4606" s="3"/>
      <c r="I4606" s="3"/>
    </row>
    <row r="4607" spans="1:9" x14ac:dyDescent="0.3">
      <c r="A4607" s="2"/>
      <c r="H4607" s="3"/>
      <c r="I4607" s="3"/>
    </row>
    <row r="4608" spans="1:9" x14ac:dyDescent="0.3">
      <c r="A4608" s="2"/>
      <c r="H4608" s="3"/>
      <c r="I4608" s="3"/>
    </row>
    <row r="4609" spans="1:9" x14ac:dyDescent="0.3">
      <c r="A4609" s="2"/>
      <c r="H4609" s="3"/>
      <c r="I4609" s="3"/>
    </row>
    <row r="4610" spans="1:9" x14ac:dyDescent="0.3">
      <c r="A4610" s="2"/>
      <c r="H4610" s="3"/>
      <c r="I4610" s="3"/>
    </row>
    <row r="4611" spans="1:9" x14ac:dyDescent="0.3">
      <c r="A4611" s="2"/>
      <c r="H4611" s="3"/>
      <c r="I4611" s="3"/>
    </row>
    <row r="4612" spans="1:9" x14ac:dyDescent="0.3">
      <c r="A4612" s="2"/>
      <c r="H4612" s="3"/>
      <c r="I4612" s="3"/>
    </row>
    <row r="4613" spans="1:9" x14ac:dyDescent="0.3">
      <c r="A4613" s="2"/>
      <c r="H4613" s="3"/>
      <c r="I4613" s="3"/>
    </row>
    <row r="4614" spans="1:9" x14ac:dyDescent="0.3">
      <c r="A4614" s="2"/>
      <c r="H4614" s="3"/>
      <c r="I4614" s="3"/>
    </row>
    <row r="4615" spans="1:9" x14ac:dyDescent="0.3">
      <c r="A4615" s="2"/>
      <c r="H4615" s="3"/>
      <c r="I4615" s="3"/>
    </row>
    <row r="4616" spans="1:9" x14ac:dyDescent="0.3">
      <c r="A4616" s="2"/>
      <c r="H4616" s="3"/>
      <c r="I4616" s="3"/>
    </row>
    <row r="4617" spans="1:9" x14ac:dyDescent="0.3">
      <c r="A4617" s="2"/>
      <c r="H4617" s="3"/>
      <c r="I4617" s="3"/>
    </row>
    <row r="4618" spans="1:9" x14ac:dyDescent="0.3">
      <c r="A4618" s="2"/>
      <c r="H4618" s="3"/>
      <c r="I4618" s="3"/>
    </row>
    <row r="4619" spans="1:9" x14ac:dyDescent="0.3">
      <c r="A4619" s="2"/>
      <c r="H4619" s="3"/>
      <c r="I4619" s="3"/>
    </row>
    <row r="4620" spans="1:9" x14ac:dyDescent="0.3">
      <c r="A4620" s="2"/>
      <c r="H4620" s="3"/>
      <c r="I4620" s="3"/>
    </row>
    <row r="4621" spans="1:9" x14ac:dyDescent="0.3">
      <c r="A4621" s="2"/>
      <c r="H4621" s="3"/>
      <c r="I4621" s="3"/>
    </row>
    <row r="4622" spans="1:9" x14ac:dyDescent="0.3">
      <c r="A4622" s="2"/>
      <c r="H4622" s="3"/>
      <c r="I4622" s="3"/>
    </row>
    <row r="4623" spans="1:9" x14ac:dyDescent="0.3">
      <c r="A4623" s="2"/>
      <c r="H4623" s="3"/>
      <c r="I4623" s="3"/>
    </row>
    <row r="4624" spans="1:9" x14ac:dyDescent="0.3">
      <c r="A4624" s="2"/>
      <c r="H4624" s="3"/>
      <c r="I4624" s="3"/>
    </row>
    <row r="4625" spans="1:9" x14ac:dyDescent="0.3">
      <c r="A4625" s="2"/>
      <c r="H4625" s="3"/>
      <c r="I4625" s="3"/>
    </row>
    <row r="4626" spans="1:9" x14ac:dyDescent="0.3">
      <c r="A4626" s="2"/>
      <c r="H4626" s="3"/>
      <c r="I4626" s="3"/>
    </row>
    <row r="4627" spans="1:9" x14ac:dyDescent="0.3">
      <c r="A4627" s="2"/>
      <c r="H4627" s="3"/>
      <c r="I4627" s="3"/>
    </row>
    <row r="4628" spans="1:9" x14ac:dyDescent="0.3">
      <c r="A4628" s="2"/>
      <c r="H4628" s="3"/>
      <c r="I4628" s="3"/>
    </row>
    <row r="4629" spans="1:9" x14ac:dyDescent="0.3">
      <c r="A4629" s="2"/>
      <c r="H4629" s="3"/>
      <c r="I4629" s="3"/>
    </row>
    <row r="4630" spans="1:9" x14ac:dyDescent="0.3">
      <c r="A4630" s="2"/>
      <c r="H4630" s="3"/>
      <c r="I4630" s="3"/>
    </row>
    <row r="4631" spans="1:9" x14ac:dyDescent="0.3">
      <c r="A4631" s="2"/>
      <c r="H4631" s="3"/>
      <c r="I4631" s="3"/>
    </row>
    <row r="4632" spans="1:9" x14ac:dyDescent="0.3">
      <c r="A4632" s="2"/>
      <c r="H4632" s="3"/>
      <c r="I4632" s="3"/>
    </row>
    <row r="4633" spans="1:9" x14ac:dyDescent="0.3">
      <c r="A4633" s="2"/>
      <c r="H4633" s="3"/>
      <c r="I4633" s="3"/>
    </row>
    <row r="4634" spans="1:9" x14ac:dyDescent="0.3">
      <c r="A4634" s="2"/>
      <c r="H4634" s="3"/>
      <c r="I4634" s="3"/>
    </row>
    <row r="4635" spans="1:9" x14ac:dyDescent="0.3">
      <c r="A4635" s="2"/>
      <c r="H4635" s="3"/>
      <c r="I4635" s="3"/>
    </row>
    <row r="4636" spans="1:9" x14ac:dyDescent="0.3">
      <c r="A4636" s="2"/>
      <c r="H4636" s="3"/>
      <c r="I4636" s="3"/>
    </row>
    <row r="4637" spans="1:9" x14ac:dyDescent="0.3">
      <c r="A4637" s="2"/>
      <c r="H4637" s="3"/>
      <c r="I4637" s="3"/>
    </row>
    <row r="4638" spans="1:9" x14ac:dyDescent="0.3">
      <c r="A4638" s="2"/>
      <c r="H4638" s="3"/>
      <c r="I4638" s="3"/>
    </row>
    <row r="4639" spans="1:9" x14ac:dyDescent="0.3">
      <c r="A4639" s="2"/>
      <c r="H4639" s="3"/>
      <c r="I4639" s="3"/>
    </row>
    <row r="4640" spans="1:9" x14ac:dyDescent="0.3">
      <c r="A4640" s="2"/>
      <c r="H4640" s="3"/>
      <c r="I4640" s="3"/>
    </row>
    <row r="4641" spans="1:9" x14ac:dyDescent="0.3">
      <c r="A4641" s="2"/>
      <c r="H4641" s="3"/>
      <c r="I4641" s="3"/>
    </row>
    <row r="4642" spans="1:9" x14ac:dyDescent="0.3">
      <c r="A4642" s="2"/>
      <c r="H4642" s="3"/>
      <c r="I4642" s="3"/>
    </row>
    <row r="4643" spans="1:9" x14ac:dyDescent="0.3">
      <c r="A4643" s="2"/>
      <c r="H4643" s="3"/>
      <c r="I4643" s="3"/>
    </row>
    <row r="4644" spans="1:9" x14ac:dyDescent="0.3">
      <c r="A4644" s="2"/>
      <c r="H4644" s="3"/>
      <c r="I4644" s="3"/>
    </row>
    <row r="4645" spans="1:9" x14ac:dyDescent="0.3">
      <c r="A4645" s="2"/>
      <c r="H4645" s="3"/>
      <c r="I4645" s="3"/>
    </row>
    <row r="4646" spans="1:9" x14ac:dyDescent="0.3">
      <c r="A4646" s="2"/>
      <c r="H4646" s="3"/>
      <c r="I4646" s="3"/>
    </row>
    <row r="4647" spans="1:9" x14ac:dyDescent="0.3">
      <c r="A4647" s="2"/>
      <c r="H4647" s="3"/>
      <c r="I4647" s="3"/>
    </row>
    <row r="4648" spans="1:9" x14ac:dyDescent="0.3">
      <c r="A4648" s="2"/>
      <c r="H4648" s="3"/>
      <c r="I4648" s="3"/>
    </row>
    <row r="4649" spans="1:9" x14ac:dyDescent="0.3">
      <c r="A4649" s="2"/>
      <c r="H4649" s="3"/>
      <c r="I4649" s="3"/>
    </row>
    <row r="4650" spans="1:9" x14ac:dyDescent="0.3">
      <c r="A4650" s="2"/>
      <c r="H4650" s="3"/>
      <c r="I4650" s="3"/>
    </row>
    <row r="4651" spans="1:9" x14ac:dyDescent="0.3">
      <c r="A4651" s="2"/>
      <c r="H4651" s="3"/>
      <c r="I4651" s="3"/>
    </row>
    <row r="4652" spans="1:9" x14ac:dyDescent="0.3">
      <c r="A4652" s="2"/>
      <c r="H4652" s="3"/>
      <c r="I4652" s="3"/>
    </row>
    <row r="4653" spans="1:9" x14ac:dyDescent="0.3">
      <c r="A4653" s="2"/>
      <c r="H4653" s="3"/>
      <c r="I4653" s="3"/>
    </row>
    <row r="4654" spans="1:9" x14ac:dyDescent="0.3">
      <c r="A4654" s="2"/>
      <c r="H4654" s="3"/>
      <c r="I4654" s="3"/>
    </row>
    <row r="4655" spans="1:9" x14ac:dyDescent="0.3">
      <c r="A4655" s="2"/>
      <c r="H4655" s="3"/>
      <c r="I4655" s="3"/>
    </row>
    <row r="4656" spans="1:9" x14ac:dyDescent="0.3">
      <c r="A4656" s="2"/>
      <c r="H4656" s="3"/>
      <c r="I4656" s="3"/>
    </row>
    <row r="4657" spans="1:9" x14ac:dyDescent="0.3">
      <c r="A4657" s="2"/>
      <c r="H4657" s="3"/>
      <c r="I4657" s="3"/>
    </row>
    <row r="4658" spans="1:9" x14ac:dyDescent="0.3">
      <c r="A4658" s="2"/>
      <c r="H4658" s="3"/>
      <c r="I4658" s="3"/>
    </row>
    <row r="4659" spans="1:9" x14ac:dyDescent="0.3">
      <c r="A4659" s="2"/>
      <c r="H4659" s="3"/>
      <c r="I4659" s="3"/>
    </row>
    <row r="4660" spans="1:9" x14ac:dyDescent="0.3">
      <c r="A4660" s="2"/>
      <c r="H4660" s="3"/>
      <c r="I4660" s="3"/>
    </row>
    <row r="4661" spans="1:9" x14ac:dyDescent="0.3">
      <c r="A4661" s="2"/>
      <c r="H4661" s="3"/>
      <c r="I4661" s="3"/>
    </row>
    <row r="4662" spans="1:9" x14ac:dyDescent="0.3">
      <c r="A4662" s="2"/>
      <c r="H4662" s="3"/>
      <c r="I4662" s="3"/>
    </row>
    <row r="4663" spans="1:9" x14ac:dyDescent="0.3">
      <c r="A4663" s="2"/>
      <c r="H4663" s="3"/>
      <c r="I4663" s="3"/>
    </row>
    <row r="4664" spans="1:9" x14ac:dyDescent="0.3">
      <c r="A4664" s="2"/>
      <c r="H4664" s="3"/>
      <c r="I4664" s="3"/>
    </row>
    <row r="4665" spans="1:9" x14ac:dyDescent="0.3">
      <c r="A4665" s="2"/>
      <c r="H4665" s="3"/>
      <c r="I4665" s="3"/>
    </row>
    <row r="4666" spans="1:9" x14ac:dyDescent="0.3">
      <c r="A4666" s="2"/>
      <c r="H4666" s="3"/>
      <c r="I4666" s="3"/>
    </row>
    <row r="4667" spans="1:9" x14ac:dyDescent="0.3">
      <c r="A4667" s="2"/>
      <c r="H4667" s="3"/>
      <c r="I4667" s="3"/>
    </row>
    <row r="4668" spans="1:9" x14ac:dyDescent="0.3">
      <c r="A4668" s="2"/>
      <c r="H4668" s="3"/>
      <c r="I4668" s="3"/>
    </row>
    <row r="4669" spans="1:9" x14ac:dyDescent="0.3">
      <c r="A4669" s="2"/>
      <c r="H4669" s="3"/>
      <c r="I4669" s="3"/>
    </row>
    <row r="4670" spans="1:9" x14ac:dyDescent="0.3">
      <c r="A4670" s="2"/>
      <c r="H4670" s="3"/>
      <c r="I4670" s="3"/>
    </row>
    <row r="4671" spans="1:9" x14ac:dyDescent="0.3">
      <c r="A4671" s="2"/>
      <c r="H4671" s="3"/>
      <c r="I4671" s="3"/>
    </row>
    <row r="4672" spans="1:9" x14ac:dyDescent="0.3">
      <c r="A4672" s="2"/>
      <c r="H4672" s="3"/>
      <c r="I4672" s="3"/>
    </row>
    <row r="4673" spans="1:9" x14ac:dyDescent="0.3">
      <c r="A4673" s="2"/>
      <c r="H4673" s="3"/>
      <c r="I4673" s="3"/>
    </row>
    <row r="4674" spans="1:9" x14ac:dyDescent="0.3">
      <c r="A4674" s="2"/>
      <c r="H4674" s="3"/>
      <c r="I4674" s="3"/>
    </row>
    <row r="4675" spans="1:9" x14ac:dyDescent="0.3">
      <c r="A4675" s="2"/>
      <c r="H4675" s="3"/>
      <c r="I4675" s="3"/>
    </row>
    <row r="4676" spans="1:9" x14ac:dyDescent="0.3">
      <c r="A4676" s="2"/>
      <c r="H4676" s="3"/>
      <c r="I4676" s="3"/>
    </row>
    <row r="4677" spans="1:9" x14ac:dyDescent="0.3">
      <c r="A4677" s="2"/>
      <c r="H4677" s="3"/>
      <c r="I4677" s="3"/>
    </row>
    <row r="4678" spans="1:9" x14ac:dyDescent="0.3">
      <c r="A4678" s="2"/>
      <c r="H4678" s="3"/>
      <c r="I4678" s="3"/>
    </row>
    <row r="4679" spans="1:9" x14ac:dyDescent="0.3">
      <c r="A4679" s="2"/>
      <c r="H4679" s="3"/>
      <c r="I4679" s="3"/>
    </row>
    <row r="4680" spans="1:9" x14ac:dyDescent="0.3">
      <c r="A4680" s="2"/>
      <c r="H4680" s="3"/>
      <c r="I4680" s="3"/>
    </row>
    <row r="4681" spans="1:9" x14ac:dyDescent="0.3">
      <c r="A4681" s="2"/>
      <c r="H4681" s="3"/>
      <c r="I4681" s="3"/>
    </row>
    <row r="4682" spans="1:9" x14ac:dyDescent="0.3">
      <c r="A4682" s="2"/>
      <c r="H4682" s="3"/>
      <c r="I4682" s="3"/>
    </row>
    <row r="4683" spans="1:9" x14ac:dyDescent="0.3">
      <c r="A4683" s="2"/>
      <c r="H4683" s="3"/>
      <c r="I4683" s="3"/>
    </row>
    <row r="4684" spans="1:9" x14ac:dyDescent="0.3">
      <c r="A4684" s="2"/>
      <c r="H4684" s="3"/>
      <c r="I4684" s="3"/>
    </row>
    <row r="4685" spans="1:9" x14ac:dyDescent="0.3">
      <c r="A4685" s="2"/>
      <c r="H4685" s="3"/>
      <c r="I4685" s="3"/>
    </row>
    <row r="4686" spans="1:9" x14ac:dyDescent="0.3">
      <c r="A4686" s="2"/>
      <c r="H4686" s="3"/>
      <c r="I4686" s="3"/>
    </row>
    <row r="4687" spans="1:9" x14ac:dyDescent="0.3">
      <c r="A4687" s="2"/>
      <c r="H4687" s="3"/>
      <c r="I4687" s="3"/>
    </row>
    <row r="4688" spans="1:9" x14ac:dyDescent="0.3">
      <c r="A4688" s="2"/>
      <c r="H4688" s="3"/>
      <c r="I4688" s="3"/>
    </row>
    <row r="4689" spans="1:9" x14ac:dyDescent="0.3">
      <c r="A4689" s="2"/>
      <c r="H4689" s="3"/>
      <c r="I4689" s="3"/>
    </row>
    <row r="4690" spans="1:9" x14ac:dyDescent="0.3">
      <c r="A4690" s="2"/>
      <c r="H4690" s="3"/>
      <c r="I4690" s="3"/>
    </row>
    <row r="4691" spans="1:9" x14ac:dyDescent="0.3">
      <c r="A4691" s="2"/>
      <c r="H4691" s="3"/>
      <c r="I4691" s="3"/>
    </row>
    <row r="4692" spans="1:9" x14ac:dyDescent="0.3">
      <c r="A4692" s="2"/>
      <c r="H4692" s="3"/>
      <c r="I4692" s="3"/>
    </row>
    <row r="4693" spans="1:9" x14ac:dyDescent="0.3">
      <c r="A4693" s="2"/>
      <c r="H4693" s="3"/>
      <c r="I4693" s="3"/>
    </row>
    <row r="4694" spans="1:9" x14ac:dyDescent="0.3">
      <c r="A4694" s="2"/>
      <c r="H4694" s="3"/>
      <c r="I4694" s="3"/>
    </row>
    <row r="4695" spans="1:9" x14ac:dyDescent="0.3">
      <c r="A4695" s="2"/>
      <c r="H4695" s="3"/>
      <c r="I4695" s="3"/>
    </row>
    <row r="4696" spans="1:9" x14ac:dyDescent="0.3">
      <c r="A4696" s="2"/>
      <c r="H4696" s="3"/>
      <c r="I4696" s="3"/>
    </row>
    <row r="4697" spans="1:9" x14ac:dyDescent="0.3">
      <c r="A4697" s="2"/>
      <c r="H4697" s="3"/>
      <c r="I4697" s="3"/>
    </row>
    <row r="4698" spans="1:9" x14ac:dyDescent="0.3">
      <c r="A4698" s="2"/>
      <c r="H4698" s="3"/>
      <c r="I4698" s="3"/>
    </row>
    <row r="4699" spans="1:9" x14ac:dyDescent="0.3">
      <c r="A4699" s="2"/>
      <c r="H4699" s="3"/>
      <c r="I4699" s="3"/>
    </row>
    <row r="4700" spans="1:9" x14ac:dyDescent="0.3">
      <c r="A4700" s="2"/>
      <c r="H4700" s="3"/>
      <c r="I4700" s="3"/>
    </row>
    <row r="4701" spans="1:9" x14ac:dyDescent="0.3">
      <c r="A4701" s="2"/>
      <c r="H4701" s="3"/>
      <c r="I4701" s="3"/>
    </row>
    <row r="4702" spans="1:9" x14ac:dyDescent="0.3">
      <c r="A4702" s="2"/>
      <c r="H4702" s="3"/>
      <c r="I4702" s="3"/>
    </row>
    <row r="4703" spans="1:9" x14ac:dyDescent="0.3">
      <c r="A4703" s="2"/>
      <c r="H4703" s="3"/>
      <c r="I4703" s="3"/>
    </row>
    <row r="4704" spans="1:9" x14ac:dyDescent="0.3">
      <c r="A4704" s="2"/>
      <c r="H4704" s="3"/>
      <c r="I4704" s="3"/>
    </row>
    <row r="4705" spans="1:9" x14ac:dyDescent="0.3">
      <c r="A4705" s="2"/>
      <c r="H4705" s="3"/>
      <c r="I4705" s="3"/>
    </row>
    <row r="4706" spans="1:9" x14ac:dyDescent="0.3">
      <c r="A4706" s="2"/>
      <c r="H4706" s="3"/>
      <c r="I4706" s="3"/>
    </row>
    <row r="4707" spans="1:9" x14ac:dyDescent="0.3">
      <c r="A4707" s="2"/>
      <c r="H4707" s="3"/>
      <c r="I4707" s="3"/>
    </row>
    <row r="4708" spans="1:9" x14ac:dyDescent="0.3">
      <c r="A4708" s="2"/>
      <c r="H4708" s="3"/>
      <c r="I4708" s="3"/>
    </row>
    <row r="4709" spans="1:9" x14ac:dyDescent="0.3">
      <c r="A4709" s="2"/>
      <c r="H4709" s="3"/>
      <c r="I4709" s="3"/>
    </row>
    <row r="4710" spans="1:9" x14ac:dyDescent="0.3">
      <c r="A4710" s="2"/>
      <c r="H4710" s="3"/>
      <c r="I4710" s="3"/>
    </row>
    <row r="4711" spans="1:9" x14ac:dyDescent="0.3">
      <c r="A4711" s="2"/>
      <c r="H4711" s="3"/>
      <c r="I4711" s="3"/>
    </row>
    <row r="4712" spans="1:9" x14ac:dyDescent="0.3">
      <c r="A4712" s="2"/>
      <c r="H4712" s="3"/>
      <c r="I4712" s="3"/>
    </row>
    <row r="4713" spans="1:9" x14ac:dyDescent="0.3">
      <c r="A4713" s="2"/>
      <c r="H4713" s="3"/>
      <c r="I4713" s="3"/>
    </row>
    <row r="4714" spans="1:9" x14ac:dyDescent="0.3">
      <c r="A4714" s="2"/>
      <c r="H4714" s="3"/>
      <c r="I4714" s="3"/>
    </row>
    <row r="4715" spans="1:9" x14ac:dyDescent="0.3">
      <c r="A4715" s="2"/>
      <c r="H4715" s="3"/>
      <c r="I4715" s="3"/>
    </row>
    <row r="4716" spans="1:9" x14ac:dyDescent="0.3">
      <c r="A4716" s="2"/>
      <c r="H4716" s="3"/>
      <c r="I4716" s="3"/>
    </row>
    <row r="4717" spans="1:9" x14ac:dyDescent="0.3">
      <c r="A4717" s="2"/>
      <c r="H4717" s="3"/>
      <c r="I4717" s="3"/>
    </row>
    <row r="4718" spans="1:9" x14ac:dyDescent="0.3">
      <c r="A4718" s="2"/>
      <c r="H4718" s="3"/>
      <c r="I4718" s="3"/>
    </row>
    <row r="4719" spans="1:9" x14ac:dyDescent="0.3">
      <c r="A4719" s="2"/>
      <c r="H4719" s="3"/>
      <c r="I4719" s="3"/>
    </row>
    <row r="4720" spans="1:9" x14ac:dyDescent="0.3">
      <c r="A4720" s="2"/>
      <c r="H4720" s="3"/>
      <c r="I4720" s="3"/>
    </row>
    <row r="4721" spans="1:9" x14ac:dyDescent="0.3">
      <c r="A4721" s="2"/>
      <c r="H4721" s="3"/>
      <c r="I4721" s="3"/>
    </row>
    <row r="4722" spans="1:9" x14ac:dyDescent="0.3">
      <c r="A4722" s="2"/>
      <c r="H4722" s="3"/>
      <c r="I4722" s="3"/>
    </row>
    <row r="4723" spans="1:9" x14ac:dyDescent="0.3">
      <c r="A4723" s="2"/>
      <c r="H4723" s="3"/>
      <c r="I4723" s="3"/>
    </row>
    <row r="4724" spans="1:9" x14ac:dyDescent="0.3">
      <c r="A4724" s="2"/>
      <c r="H4724" s="3"/>
      <c r="I4724" s="3"/>
    </row>
    <row r="4725" spans="1:9" x14ac:dyDescent="0.3">
      <c r="A4725" s="2"/>
      <c r="H4725" s="3"/>
      <c r="I4725" s="3"/>
    </row>
    <row r="4726" spans="1:9" x14ac:dyDescent="0.3">
      <c r="A4726" s="2"/>
      <c r="H4726" s="3"/>
      <c r="I4726" s="3"/>
    </row>
    <row r="4727" spans="1:9" x14ac:dyDescent="0.3">
      <c r="A4727" s="2"/>
      <c r="H4727" s="3"/>
      <c r="I4727" s="3"/>
    </row>
    <row r="4728" spans="1:9" x14ac:dyDescent="0.3">
      <c r="A4728" s="2"/>
      <c r="H4728" s="3"/>
      <c r="I4728" s="3"/>
    </row>
    <row r="4729" spans="1:9" x14ac:dyDescent="0.3">
      <c r="A4729" s="2"/>
      <c r="H4729" s="3"/>
      <c r="I4729" s="3"/>
    </row>
    <row r="4730" spans="1:9" x14ac:dyDescent="0.3">
      <c r="A4730" s="2"/>
      <c r="H4730" s="3"/>
      <c r="I4730" s="3"/>
    </row>
    <row r="4731" spans="1:9" x14ac:dyDescent="0.3">
      <c r="A4731" s="2"/>
      <c r="H4731" s="3"/>
      <c r="I4731" s="3"/>
    </row>
    <row r="4732" spans="1:9" x14ac:dyDescent="0.3">
      <c r="A4732" s="2"/>
      <c r="H4732" s="3"/>
      <c r="I4732" s="3"/>
    </row>
    <row r="4733" spans="1:9" x14ac:dyDescent="0.3">
      <c r="A4733" s="2"/>
      <c r="H4733" s="3"/>
      <c r="I4733" s="3"/>
    </row>
    <row r="4734" spans="1:9" x14ac:dyDescent="0.3">
      <c r="A4734" s="2"/>
      <c r="H4734" s="3"/>
      <c r="I4734" s="3"/>
    </row>
    <row r="4735" spans="1:9" x14ac:dyDescent="0.3">
      <c r="A4735" s="2"/>
      <c r="H4735" s="3"/>
      <c r="I4735" s="3"/>
    </row>
    <row r="4736" spans="1:9" x14ac:dyDescent="0.3">
      <c r="A4736" s="2"/>
      <c r="H4736" s="3"/>
      <c r="I4736" s="3"/>
    </row>
    <row r="4737" spans="1:9" x14ac:dyDescent="0.3">
      <c r="A4737" s="2"/>
      <c r="H4737" s="3"/>
      <c r="I4737" s="3"/>
    </row>
    <row r="4738" spans="1:9" x14ac:dyDescent="0.3">
      <c r="A4738" s="2"/>
      <c r="H4738" s="3"/>
      <c r="I4738" s="3"/>
    </row>
    <row r="4739" spans="1:9" x14ac:dyDescent="0.3">
      <c r="A4739" s="2"/>
      <c r="H4739" s="3"/>
      <c r="I4739" s="3"/>
    </row>
    <row r="4740" spans="1:9" x14ac:dyDescent="0.3">
      <c r="A4740" s="2"/>
      <c r="H4740" s="3"/>
      <c r="I4740" s="3"/>
    </row>
    <row r="4741" spans="1:9" x14ac:dyDescent="0.3">
      <c r="A4741" s="2"/>
      <c r="H4741" s="3"/>
      <c r="I4741" s="3"/>
    </row>
    <row r="4742" spans="1:9" x14ac:dyDescent="0.3">
      <c r="A4742" s="2"/>
      <c r="H4742" s="3"/>
      <c r="I4742" s="3"/>
    </row>
    <row r="4743" spans="1:9" x14ac:dyDescent="0.3">
      <c r="A4743" s="2"/>
      <c r="H4743" s="3"/>
      <c r="I4743" s="3"/>
    </row>
    <row r="4744" spans="1:9" x14ac:dyDescent="0.3">
      <c r="A4744" s="2"/>
      <c r="H4744" s="3"/>
      <c r="I4744" s="3"/>
    </row>
    <row r="4745" spans="1:9" x14ac:dyDescent="0.3">
      <c r="A4745" s="2"/>
      <c r="H4745" s="3"/>
      <c r="I4745" s="3"/>
    </row>
    <row r="4746" spans="1:9" x14ac:dyDescent="0.3">
      <c r="A4746" s="2"/>
      <c r="H4746" s="3"/>
      <c r="I4746" s="3"/>
    </row>
    <row r="4747" spans="1:9" x14ac:dyDescent="0.3">
      <c r="A4747" s="2"/>
      <c r="H4747" s="3"/>
      <c r="I4747" s="3"/>
    </row>
    <row r="4748" spans="1:9" x14ac:dyDescent="0.3">
      <c r="A4748" s="2"/>
      <c r="H4748" s="3"/>
      <c r="I4748" s="3"/>
    </row>
    <row r="4749" spans="1:9" x14ac:dyDescent="0.3">
      <c r="A4749" s="2"/>
      <c r="H4749" s="3"/>
      <c r="I4749" s="3"/>
    </row>
    <row r="4750" spans="1:9" x14ac:dyDescent="0.3">
      <c r="A4750" s="2"/>
      <c r="H4750" s="3"/>
      <c r="I4750" s="3"/>
    </row>
    <row r="4751" spans="1:9" x14ac:dyDescent="0.3">
      <c r="A4751" s="2"/>
      <c r="H4751" s="3"/>
      <c r="I4751" s="3"/>
    </row>
    <row r="4752" spans="1:9" x14ac:dyDescent="0.3">
      <c r="A4752" s="2"/>
      <c r="H4752" s="3"/>
      <c r="I4752" s="3"/>
    </row>
    <row r="4753" spans="1:9" x14ac:dyDescent="0.3">
      <c r="A4753" s="2"/>
      <c r="H4753" s="3"/>
      <c r="I4753" s="3"/>
    </row>
    <row r="4754" spans="1:9" x14ac:dyDescent="0.3">
      <c r="A4754" s="2"/>
      <c r="H4754" s="3"/>
      <c r="I4754" s="3"/>
    </row>
    <row r="4755" spans="1:9" x14ac:dyDescent="0.3">
      <c r="A4755" s="2"/>
      <c r="H4755" s="3"/>
      <c r="I4755" s="3"/>
    </row>
    <row r="4756" spans="1:9" x14ac:dyDescent="0.3">
      <c r="A4756" s="2"/>
      <c r="H4756" s="3"/>
      <c r="I4756" s="3"/>
    </row>
    <row r="4757" spans="1:9" x14ac:dyDescent="0.3">
      <c r="A4757" s="2"/>
      <c r="H4757" s="3"/>
      <c r="I4757" s="3"/>
    </row>
    <row r="4758" spans="1:9" x14ac:dyDescent="0.3">
      <c r="A4758" s="2"/>
      <c r="H4758" s="3"/>
      <c r="I4758" s="3"/>
    </row>
    <row r="4759" spans="1:9" x14ac:dyDescent="0.3">
      <c r="A4759" s="2"/>
      <c r="H4759" s="3"/>
      <c r="I4759" s="3"/>
    </row>
    <row r="4760" spans="1:9" x14ac:dyDescent="0.3">
      <c r="A4760" s="2"/>
      <c r="H4760" s="3"/>
      <c r="I4760" s="3"/>
    </row>
    <row r="4761" spans="1:9" x14ac:dyDescent="0.3">
      <c r="A4761" s="2"/>
      <c r="H4761" s="3"/>
      <c r="I4761" s="3"/>
    </row>
    <row r="4762" spans="1:9" x14ac:dyDescent="0.3">
      <c r="A4762" s="2"/>
      <c r="H4762" s="3"/>
      <c r="I4762" s="3"/>
    </row>
    <row r="4763" spans="1:9" x14ac:dyDescent="0.3">
      <c r="A4763" s="2"/>
      <c r="H4763" s="3"/>
      <c r="I4763" s="3"/>
    </row>
    <row r="4764" spans="1:9" x14ac:dyDescent="0.3">
      <c r="A4764" s="2"/>
      <c r="H4764" s="3"/>
      <c r="I4764" s="3"/>
    </row>
    <row r="4765" spans="1:9" x14ac:dyDescent="0.3">
      <c r="A4765" s="2"/>
      <c r="H4765" s="3"/>
      <c r="I4765" s="3"/>
    </row>
    <row r="4766" spans="1:9" x14ac:dyDescent="0.3">
      <c r="A4766" s="2"/>
      <c r="H4766" s="3"/>
      <c r="I4766" s="3"/>
    </row>
    <row r="4767" spans="1:9" x14ac:dyDescent="0.3">
      <c r="A4767" s="2"/>
      <c r="H4767" s="3"/>
      <c r="I4767" s="3"/>
    </row>
    <row r="4768" spans="1:9" x14ac:dyDescent="0.3">
      <c r="A4768" s="2"/>
      <c r="H4768" s="3"/>
      <c r="I4768" s="3"/>
    </row>
    <row r="4769" spans="1:9" x14ac:dyDescent="0.3">
      <c r="A4769" s="2"/>
      <c r="H4769" s="3"/>
      <c r="I4769" s="3"/>
    </row>
    <row r="4770" spans="1:9" x14ac:dyDescent="0.3">
      <c r="A4770" s="2"/>
      <c r="H4770" s="3"/>
      <c r="I4770" s="3"/>
    </row>
    <row r="4771" spans="1:9" x14ac:dyDescent="0.3">
      <c r="A4771" s="2"/>
      <c r="H4771" s="3"/>
      <c r="I4771" s="3"/>
    </row>
    <row r="4772" spans="1:9" x14ac:dyDescent="0.3">
      <c r="A4772" s="2"/>
      <c r="H4772" s="3"/>
      <c r="I4772" s="3"/>
    </row>
    <row r="4773" spans="1:9" x14ac:dyDescent="0.3">
      <c r="A4773" s="2"/>
      <c r="H4773" s="3"/>
      <c r="I4773" s="3"/>
    </row>
    <row r="4774" spans="1:9" x14ac:dyDescent="0.3">
      <c r="A4774" s="2"/>
      <c r="H4774" s="3"/>
      <c r="I4774" s="3"/>
    </row>
    <row r="4775" spans="1:9" x14ac:dyDescent="0.3">
      <c r="A4775" s="2"/>
      <c r="H4775" s="3"/>
      <c r="I4775" s="3"/>
    </row>
    <row r="4776" spans="1:9" x14ac:dyDescent="0.3">
      <c r="A4776" s="2"/>
      <c r="H4776" s="3"/>
      <c r="I4776" s="3"/>
    </row>
    <row r="4777" spans="1:9" x14ac:dyDescent="0.3">
      <c r="A4777" s="2"/>
      <c r="H4777" s="3"/>
      <c r="I4777" s="3"/>
    </row>
    <row r="4778" spans="1:9" x14ac:dyDescent="0.3">
      <c r="A4778" s="2"/>
      <c r="H4778" s="3"/>
      <c r="I4778" s="3"/>
    </row>
    <row r="4779" spans="1:9" x14ac:dyDescent="0.3">
      <c r="A4779" s="2"/>
      <c r="H4779" s="3"/>
      <c r="I4779" s="3"/>
    </row>
    <row r="4780" spans="1:9" x14ac:dyDescent="0.3">
      <c r="A4780" s="2"/>
      <c r="H4780" s="3"/>
      <c r="I4780" s="3"/>
    </row>
    <row r="4781" spans="1:9" x14ac:dyDescent="0.3">
      <c r="A4781" s="2"/>
      <c r="H4781" s="3"/>
      <c r="I4781" s="3"/>
    </row>
    <row r="4782" spans="1:9" x14ac:dyDescent="0.3">
      <c r="A4782" s="2"/>
      <c r="H4782" s="3"/>
      <c r="I4782" s="3"/>
    </row>
    <row r="4783" spans="1:9" x14ac:dyDescent="0.3">
      <c r="A4783" s="2"/>
      <c r="H4783" s="3"/>
      <c r="I4783" s="3"/>
    </row>
    <row r="4784" spans="1:9" x14ac:dyDescent="0.3">
      <c r="A4784" s="2"/>
      <c r="H4784" s="3"/>
      <c r="I4784" s="3"/>
    </row>
    <row r="4785" spans="1:9" x14ac:dyDescent="0.3">
      <c r="A4785" s="2"/>
      <c r="H4785" s="3"/>
      <c r="I4785" s="3"/>
    </row>
    <row r="4786" spans="1:9" x14ac:dyDescent="0.3">
      <c r="A4786" s="2"/>
      <c r="H4786" s="3"/>
      <c r="I4786" s="3"/>
    </row>
    <row r="4787" spans="1:9" x14ac:dyDescent="0.3">
      <c r="A4787" s="2"/>
      <c r="H4787" s="3"/>
      <c r="I4787" s="3"/>
    </row>
    <row r="4788" spans="1:9" x14ac:dyDescent="0.3">
      <c r="A4788" s="2"/>
      <c r="H4788" s="3"/>
      <c r="I4788" s="3"/>
    </row>
    <row r="4789" spans="1:9" x14ac:dyDescent="0.3">
      <c r="A4789" s="2"/>
      <c r="H4789" s="3"/>
      <c r="I4789" s="3"/>
    </row>
    <row r="4790" spans="1:9" x14ac:dyDescent="0.3">
      <c r="A4790" s="2"/>
      <c r="H4790" s="3"/>
      <c r="I4790" s="3"/>
    </row>
    <row r="4791" spans="1:9" x14ac:dyDescent="0.3">
      <c r="A4791" s="2"/>
      <c r="H4791" s="3"/>
      <c r="I4791" s="3"/>
    </row>
    <row r="4792" spans="1:9" x14ac:dyDescent="0.3">
      <c r="A4792" s="2"/>
      <c r="H4792" s="3"/>
      <c r="I4792" s="3"/>
    </row>
    <row r="4793" spans="1:9" x14ac:dyDescent="0.3">
      <c r="A4793" s="2"/>
      <c r="H4793" s="3"/>
      <c r="I4793" s="3"/>
    </row>
    <row r="4794" spans="1:9" x14ac:dyDescent="0.3">
      <c r="A4794" s="2"/>
      <c r="H4794" s="3"/>
      <c r="I4794" s="3"/>
    </row>
    <row r="4795" spans="1:9" x14ac:dyDescent="0.3">
      <c r="A4795" s="2"/>
      <c r="H4795" s="3"/>
      <c r="I4795" s="3"/>
    </row>
    <row r="4796" spans="1:9" x14ac:dyDescent="0.3">
      <c r="A4796" s="2"/>
      <c r="H4796" s="3"/>
      <c r="I4796" s="3"/>
    </row>
    <row r="4797" spans="1:9" x14ac:dyDescent="0.3">
      <c r="A4797" s="2"/>
      <c r="H4797" s="3"/>
      <c r="I4797" s="3"/>
    </row>
    <row r="4798" spans="1:9" x14ac:dyDescent="0.3">
      <c r="A4798" s="2"/>
      <c r="H4798" s="3"/>
      <c r="I4798" s="3"/>
    </row>
    <row r="4799" spans="1:9" x14ac:dyDescent="0.3">
      <c r="A4799" s="2"/>
      <c r="H4799" s="3"/>
      <c r="I4799" s="3"/>
    </row>
    <row r="4800" spans="1:9" x14ac:dyDescent="0.3">
      <c r="A4800" s="2"/>
      <c r="H4800" s="3"/>
      <c r="I4800" s="3"/>
    </row>
    <row r="4801" spans="1:9" x14ac:dyDescent="0.3">
      <c r="A4801" s="2"/>
      <c r="H4801" s="3"/>
      <c r="I4801" s="3"/>
    </row>
    <row r="4802" spans="1:9" x14ac:dyDescent="0.3">
      <c r="A4802" s="2"/>
      <c r="H4802" s="3"/>
      <c r="I4802" s="3"/>
    </row>
    <row r="4803" spans="1:9" x14ac:dyDescent="0.3">
      <c r="A4803" s="2"/>
      <c r="H4803" s="3"/>
      <c r="I4803" s="3"/>
    </row>
    <row r="4804" spans="1:9" x14ac:dyDescent="0.3">
      <c r="A4804" s="2"/>
      <c r="H4804" s="3"/>
      <c r="I4804" s="3"/>
    </row>
    <row r="4805" spans="1:9" x14ac:dyDescent="0.3">
      <c r="A4805" s="2"/>
      <c r="H4805" s="3"/>
      <c r="I4805" s="3"/>
    </row>
    <row r="4806" spans="1:9" x14ac:dyDescent="0.3">
      <c r="A4806" s="2"/>
      <c r="H4806" s="3"/>
      <c r="I4806" s="3"/>
    </row>
    <row r="4807" spans="1:9" x14ac:dyDescent="0.3">
      <c r="A4807" s="2"/>
      <c r="H4807" s="3"/>
      <c r="I4807" s="3"/>
    </row>
    <row r="4808" spans="1:9" x14ac:dyDescent="0.3">
      <c r="A4808" s="2"/>
      <c r="H4808" s="3"/>
      <c r="I4808" s="3"/>
    </row>
    <row r="4809" spans="1:9" x14ac:dyDescent="0.3">
      <c r="A4809" s="2"/>
      <c r="H4809" s="3"/>
      <c r="I4809" s="3"/>
    </row>
    <row r="4810" spans="1:9" x14ac:dyDescent="0.3">
      <c r="A4810" s="2"/>
      <c r="H4810" s="3"/>
      <c r="I4810" s="3"/>
    </row>
    <row r="4811" spans="1:9" x14ac:dyDescent="0.3">
      <c r="A4811" s="2"/>
      <c r="H4811" s="3"/>
      <c r="I4811" s="3"/>
    </row>
    <row r="4812" spans="1:9" x14ac:dyDescent="0.3">
      <c r="A4812" s="2"/>
      <c r="H4812" s="3"/>
      <c r="I4812" s="3"/>
    </row>
    <row r="4813" spans="1:9" x14ac:dyDescent="0.3">
      <c r="A4813" s="2"/>
      <c r="H4813" s="3"/>
      <c r="I4813" s="3"/>
    </row>
    <row r="4814" spans="1:9" x14ac:dyDescent="0.3">
      <c r="A4814" s="2"/>
      <c r="H4814" s="3"/>
      <c r="I4814" s="3"/>
    </row>
    <row r="4815" spans="1:9" x14ac:dyDescent="0.3">
      <c r="A4815" s="2"/>
      <c r="H4815" s="3"/>
      <c r="I4815" s="3"/>
    </row>
    <row r="4816" spans="1:9" x14ac:dyDescent="0.3">
      <c r="A4816" s="2"/>
      <c r="H4816" s="3"/>
      <c r="I4816" s="3"/>
    </row>
    <row r="4817" spans="1:9" x14ac:dyDescent="0.3">
      <c r="A4817" s="2"/>
      <c r="H4817" s="3"/>
      <c r="I4817" s="3"/>
    </row>
    <row r="4818" spans="1:9" x14ac:dyDescent="0.3">
      <c r="A4818" s="2"/>
      <c r="H4818" s="3"/>
      <c r="I4818" s="3"/>
    </row>
    <row r="4819" spans="1:9" x14ac:dyDescent="0.3">
      <c r="A4819" s="2"/>
      <c r="H4819" s="3"/>
      <c r="I4819" s="3"/>
    </row>
    <row r="4820" spans="1:9" x14ac:dyDescent="0.3">
      <c r="A4820" s="2"/>
      <c r="H4820" s="3"/>
      <c r="I4820" s="3"/>
    </row>
    <row r="4821" spans="1:9" x14ac:dyDescent="0.3">
      <c r="A4821" s="2"/>
      <c r="H4821" s="3"/>
      <c r="I4821" s="3"/>
    </row>
    <row r="4822" spans="1:9" x14ac:dyDescent="0.3">
      <c r="A4822" s="2"/>
      <c r="H4822" s="3"/>
      <c r="I4822" s="3"/>
    </row>
    <row r="4823" spans="1:9" x14ac:dyDescent="0.3">
      <c r="A4823" s="2"/>
      <c r="H4823" s="3"/>
      <c r="I4823" s="3"/>
    </row>
    <row r="4824" spans="1:9" x14ac:dyDescent="0.3">
      <c r="A4824" s="2"/>
      <c r="H4824" s="3"/>
      <c r="I4824" s="3"/>
    </row>
    <row r="4825" spans="1:9" x14ac:dyDescent="0.3">
      <c r="A4825" s="2"/>
      <c r="H4825" s="3"/>
      <c r="I4825" s="3"/>
    </row>
    <row r="4826" spans="1:9" x14ac:dyDescent="0.3">
      <c r="A4826" s="2"/>
      <c r="H4826" s="3"/>
      <c r="I4826" s="3"/>
    </row>
    <row r="4827" spans="1:9" x14ac:dyDescent="0.3">
      <c r="A4827" s="2"/>
      <c r="H4827" s="3"/>
      <c r="I4827" s="3"/>
    </row>
    <row r="4828" spans="1:9" x14ac:dyDescent="0.3">
      <c r="A4828" s="2"/>
      <c r="H4828" s="3"/>
      <c r="I4828" s="3"/>
    </row>
    <row r="4829" spans="1:9" x14ac:dyDescent="0.3">
      <c r="A4829" s="2"/>
      <c r="H4829" s="3"/>
      <c r="I4829" s="3"/>
    </row>
    <row r="4830" spans="1:9" x14ac:dyDescent="0.3">
      <c r="A4830" s="2"/>
      <c r="H4830" s="3"/>
      <c r="I4830" s="3"/>
    </row>
    <row r="4831" spans="1:9" x14ac:dyDescent="0.3">
      <c r="A4831" s="2"/>
      <c r="H4831" s="3"/>
      <c r="I4831" s="3"/>
    </row>
    <row r="4832" spans="1:9" x14ac:dyDescent="0.3">
      <c r="A4832" s="2"/>
      <c r="H4832" s="3"/>
      <c r="I4832" s="3"/>
    </row>
    <row r="4833" spans="1:9" x14ac:dyDescent="0.3">
      <c r="A4833" s="2"/>
      <c r="H4833" s="3"/>
      <c r="I4833" s="3"/>
    </row>
    <row r="4834" spans="1:9" x14ac:dyDescent="0.3">
      <c r="A4834" s="2"/>
      <c r="H4834" s="3"/>
      <c r="I4834" s="3"/>
    </row>
    <row r="4835" spans="1:9" x14ac:dyDescent="0.3">
      <c r="A4835" s="2"/>
      <c r="H4835" s="3"/>
      <c r="I4835" s="3"/>
    </row>
    <row r="4836" spans="1:9" x14ac:dyDescent="0.3">
      <c r="A4836" s="2"/>
      <c r="H4836" s="3"/>
      <c r="I4836" s="3"/>
    </row>
    <row r="4837" spans="1:9" x14ac:dyDescent="0.3">
      <c r="A4837" s="2"/>
      <c r="H4837" s="3"/>
      <c r="I4837" s="3"/>
    </row>
    <row r="4838" spans="1:9" x14ac:dyDescent="0.3">
      <c r="A4838" s="2"/>
      <c r="H4838" s="3"/>
      <c r="I4838" s="3"/>
    </row>
    <row r="4839" spans="1:9" x14ac:dyDescent="0.3">
      <c r="A4839" s="2"/>
      <c r="H4839" s="3"/>
      <c r="I4839" s="3"/>
    </row>
    <row r="4840" spans="1:9" x14ac:dyDescent="0.3">
      <c r="A4840" s="2"/>
      <c r="H4840" s="3"/>
      <c r="I4840" s="3"/>
    </row>
    <row r="4841" spans="1:9" x14ac:dyDescent="0.3">
      <c r="A4841" s="2"/>
      <c r="H4841" s="3"/>
      <c r="I4841" s="3"/>
    </row>
    <row r="4842" spans="1:9" x14ac:dyDescent="0.3">
      <c r="A4842" s="2"/>
      <c r="H4842" s="3"/>
      <c r="I4842" s="3"/>
    </row>
    <row r="4843" spans="1:9" x14ac:dyDescent="0.3">
      <c r="A4843" s="2"/>
      <c r="H4843" s="3"/>
      <c r="I4843" s="3"/>
    </row>
    <row r="4844" spans="1:9" x14ac:dyDescent="0.3">
      <c r="A4844" s="2"/>
      <c r="H4844" s="3"/>
      <c r="I4844" s="3"/>
    </row>
    <row r="4845" spans="1:9" x14ac:dyDescent="0.3">
      <c r="A4845" s="2"/>
      <c r="H4845" s="3"/>
      <c r="I4845" s="3"/>
    </row>
    <row r="4846" spans="1:9" x14ac:dyDescent="0.3">
      <c r="A4846" s="2"/>
      <c r="H4846" s="3"/>
      <c r="I4846" s="3"/>
    </row>
    <row r="4847" spans="1:9" x14ac:dyDescent="0.3">
      <c r="A4847" s="2"/>
      <c r="H4847" s="3"/>
      <c r="I4847" s="3"/>
    </row>
    <row r="4848" spans="1:9" x14ac:dyDescent="0.3">
      <c r="A4848" s="2"/>
      <c r="H4848" s="3"/>
      <c r="I4848" s="3"/>
    </row>
    <row r="4849" spans="1:9" x14ac:dyDescent="0.3">
      <c r="A4849" s="2"/>
      <c r="H4849" s="3"/>
      <c r="I4849" s="3"/>
    </row>
    <row r="4850" spans="1:9" x14ac:dyDescent="0.3">
      <c r="A4850" s="2"/>
      <c r="H4850" s="3"/>
      <c r="I4850" s="3"/>
    </row>
    <row r="4851" spans="1:9" x14ac:dyDescent="0.3">
      <c r="A4851" s="2"/>
      <c r="H4851" s="3"/>
      <c r="I4851" s="3"/>
    </row>
    <row r="4852" spans="1:9" x14ac:dyDescent="0.3">
      <c r="A4852" s="2"/>
      <c r="H4852" s="3"/>
      <c r="I4852" s="3"/>
    </row>
    <row r="4853" spans="1:9" x14ac:dyDescent="0.3">
      <c r="A4853" s="2"/>
      <c r="H4853" s="3"/>
      <c r="I4853" s="3"/>
    </row>
    <row r="4854" spans="1:9" x14ac:dyDescent="0.3">
      <c r="A4854" s="2"/>
      <c r="H4854" s="3"/>
      <c r="I4854" s="3"/>
    </row>
    <row r="4855" spans="1:9" x14ac:dyDescent="0.3">
      <c r="A4855" s="2"/>
      <c r="H4855" s="3"/>
      <c r="I4855" s="3"/>
    </row>
    <row r="4856" spans="1:9" x14ac:dyDescent="0.3">
      <c r="A4856" s="2"/>
      <c r="H4856" s="3"/>
      <c r="I4856" s="3"/>
    </row>
    <row r="4857" spans="1:9" x14ac:dyDescent="0.3">
      <c r="A4857" s="2"/>
      <c r="H4857" s="3"/>
      <c r="I4857" s="3"/>
    </row>
    <row r="4858" spans="1:9" x14ac:dyDescent="0.3">
      <c r="A4858" s="2"/>
      <c r="H4858" s="3"/>
      <c r="I4858" s="3"/>
    </row>
    <row r="4859" spans="1:9" x14ac:dyDescent="0.3">
      <c r="A4859" s="2"/>
      <c r="H4859" s="3"/>
      <c r="I4859" s="3"/>
    </row>
    <row r="4860" spans="1:9" x14ac:dyDescent="0.3">
      <c r="A4860" s="2"/>
      <c r="H4860" s="3"/>
      <c r="I4860" s="3"/>
    </row>
    <row r="4861" spans="1:9" x14ac:dyDescent="0.3">
      <c r="A4861" s="2"/>
      <c r="H4861" s="3"/>
      <c r="I4861" s="3"/>
    </row>
    <row r="4862" spans="1:9" x14ac:dyDescent="0.3">
      <c r="A4862" s="2"/>
      <c r="H4862" s="3"/>
      <c r="I4862" s="3"/>
    </row>
    <row r="4863" spans="1:9" x14ac:dyDescent="0.3">
      <c r="A4863" s="2"/>
      <c r="H4863" s="3"/>
      <c r="I4863" s="3"/>
    </row>
    <row r="4864" spans="1:9" x14ac:dyDescent="0.3">
      <c r="A4864" s="2"/>
      <c r="H4864" s="3"/>
      <c r="I4864" s="3"/>
    </row>
    <row r="4865" spans="1:9" x14ac:dyDescent="0.3">
      <c r="A4865" s="2"/>
      <c r="H4865" s="3"/>
      <c r="I4865" s="3"/>
    </row>
    <row r="4866" spans="1:9" x14ac:dyDescent="0.3">
      <c r="A4866" s="2"/>
      <c r="H4866" s="3"/>
      <c r="I4866" s="3"/>
    </row>
    <row r="4867" spans="1:9" x14ac:dyDescent="0.3">
      <c r="A4867" s="2"/>
      <c r="H4867" s="3"/>
      <c r="I4867" s="3"/>
    </row>
    <row r="4868" spans="1:9" x14ac:dyDescent="0.3">
      <c r="A4868" s="2"/>
      <c r="H4868" s="3"/>
      <c r="I4868" s="3"/>
    </row>
    <row r="4869" spans="1:9" x14ac:dyDescent="0.3">
      <c r="A4869" s="2"/>
      <c r="H4869" s="3"/>
      <c r="I4869" s="3"/>
    </row>
    <row r="4870" spans="1:9" x14ac:dyDescent="0.3">
      <c r="A4870" s="2"/>
      <c r="H4870" s="3"/>
      <c r="I4870" s="3"/>
    </row>
    <row r="4871" spans="1:9" x14ac:dyDescent="0.3">
      <c r="A4871" s="2"/>
      <c r="H4871" s="3"/>
      <c r="I4871" s="3"/>
    </row>
    <row r="4872" spans="1:9" x14ac:dyDescent="0.3">
      <c r="A4872" s="2"/>
      <c r="H4872" s="3"/>
      <c r="I4872" s="3"/>
    </row>
    <row r="4873" spans="1:9" x14ac:dyDescent="0.3">
      <c r="A4873" s="2"/>
      <c r="H4873" s="3"/>
      <c r="I4873" s="3"/>
    </row>
    <row r="4874" spans="1:9" x14ac:dyDescent="0.3">
      <c r="A4874" s="2"/>
      <c r="H4874" s="3"/>
      <c r="I4874" s="3"/>
    </row>
    <row r="4875" spans="1:9" x14ac:dyDescent="0.3">
      <c r="A4875" s="2"/>
      <c r="H4875" s="3"/>
      <c r="I4875" s="3"/>
    </row>
    <row r="4876" spans="1:9" x14ac:dyDescent="0.3">
      <c r="A4876" s="2"/>
      <c r="H4876" s="3"/>
      <c r="I4876" s="3"/>
    </row>
    <row r="4877" spans="1:9" x14ac:dyDescent="0.3">
      <c r="A4877" s="2"/>
      <c r="H4877" s="3"/>
      <c r="I4877" s="3"/>
    </row>
    <row r="4878" spans="1:9" x14ac:dyDescent="0.3">
      <c r="A4878" s="2"/>
      <c r="H4878" s="3"/>
      <c r="I4878" s="3"/>
    </row>
    <row r="4879" spans="1:9" x14ac:dyDescent="0.3">
      <c r="A4879" s="2"/>
      <c r="H4879" s="3"/>
      <c r="I4879" s="3"/>
    </row>
    <row r="4880" spans="1:9" x14ac:dyDescent="0.3">
      <c r="A4880" s="2"/>
      <c r="H4880" s="3"/>
      <c r="I4880" s="3"/>
    </row>
    <row r="4881" spans="1:9" x14ac:dyDescent="0.3">
      <c r="A4881" s="2"/>
      <c r="H4881" s="3"/>
      <c r="I4881" s="3"/>
    </row>
    <row r="4882" spans="1:9" x14ac:dyDescent="0.3">
      <c r="A4882" s="2"/>
      <c r="H4882" s="3"/>
      <c r="I4882" s="3"/>
    </row>
    <row r="4883" spans="1:9" x14ac:dyDescent="0.3">
      <c r="A4883" s="2"/>
      <c r="H4883" s="3"/>
      <c r="I4883" s="3"/>
    </row>
    <row r="4884" spans="1:9" x14ac:dyDescent="0.3">
      <c r="A4884" s="2"/>
      <c r="H4884" s="3"/>
      <c r="I4884" s="3"/>
    </row>
    <row r="4885" spans="1:9" x14ac:dyDescent="0.3">
      <c r="A4885" s="2"/>
      <c r="H4885" s="3"/>
      <c r="I4885" s="3"/>
    </row>
    <row r="4886" spans="1:9" x14ac:dyDescent="0.3">
      <c r="A4886" s="2"/>
      <c r="H4886" s="3"/>
      <c r="I4886" s="3"/>
    </row>
    <row r="4887" spans="1:9" x14ac:dyDescent="0.3">
      <c r="A4887" s="2"/>
      <c r="H4887" s="3"/>
      <c r="I4887" s="3"/>
    </row>
    <row r="4888" spans="1:9" x14ac:dyDescent="0.3">
      <c r="A4888" s="2"/>
      <c r="H4888" s="3"/>
      <c r="I4888" s="3"/>
    </row>
    <row r="4889" spans="1:9" x14ac:dyDescent="0.3">
      <c r="A4889" s="2"/>
      <c r="H4889" s="3"/>
      <c r="I4889" s="3"/>
    </row>
    <row r="4890" spans="1:9" x14ac:dyDescent="0.3">
      <c r="A4890" s="2"/>
      <c r="H4890" s="3"/>
      <c r="I4890" s="3"/>
    </row>
    <row r="4891" spans="1:9" x14ac:dyDescent="0.3">
      <c r="A4891" s="2"/>
      <c r="H4891" s="3"/>
      <c r="I4891" s="3"/>
    </row>
    <row r="4892" spans="1:9" x14ac:dyDescent="0.3">
      <c r="A4892" s="2"/>
      <c r="H4892" s="3"/>
      <c r="I4892" s="3"/>
    </row>
    <row r="4893" spans="1:9" x14ac:dyDescent="0.3">
      <c r="A4893" s="2"/>
      <c r="H4893" s="3"/>
      <c r="I4893" s="3"/>
    </row>
    <row r="4894" spans="1:9" x14ac:dyDescent="0.3">
      <c r="A4894" s="2"/>
      <c r="H4894" s="3"/>
      <c r="I4894" s="3"/>
    </row>
    <row r="4895" spans="1:9" x14ac:dyDescent="0.3">
      <c r="A4895" s="2"/>
      <c r="H4895" s="3"/>
      <c r="I4895" s="3"/>
    </row>
    <row r="4896" spans="1:9" x14ac:dyDescent="0.3">
      <c r="A4896" s="2"/>
      <c r="H4896" s="3"/>
      <c r="I4896" s="3"/>
    </row>
    <row r="4897" spans="1:9" x14ac:dyDescent="0.3">
      <c r="A4897" s="2"/>
      <c r="H4897" s="3"/>
      <c r="I4897" s="3"/>
    </row>
    <row r="4898" spans="1:9" x14ac:dyDescent="0.3">
      <c r="A4898" s="2"/>
      <c r="H4898" s="3"/>
      <c r="I4898" s="3"/>
    </row>
    <row r="4899" spans="1:9" x14ac:dyDescent="0.3">
      <c r="A4899" s="2"/>
      <c r="H4899" s="3"/>
      <c r="I4899" s="3"/>
    </row>
    <row r="4900" spans="1:9" x14ac:dyDescent="0.3">
      <c r="A4900" s="2"/>
      <c r="H4900" s="3"/>
      <c r="I4900" s="3"/>
    </row>
    <row r="4901" spans="1:9" x14ac:dyDescent="0.3">
      <c r="A4901" s="2"/>
      <c r="H4901" s="3"/>
      <c r="I4901" s="3"/>
    </row>
    <row r="4902" spans="1:9" x14ac:dyDescent="0.3">
      <c r="A4902" s="2"/>
      <c r="H4902" s="3"/>
      <c r="I4902" s="3"/>
    </row>
    <row r="4903" spans="1:9" x14ac:dyDescent="0.3">
      <c r="A4903" s="2"/>
      <c r="H4903" s="3"/>
      <c r="I4903" s="3"/>
    </row>
    <row r="4904" spans="1:9" x14ac:dyDescent="0.3">
      <c r="A4904" s="2"/>
      <c r="H4904" s="3"/>
      <c r="I4904" s="3"/>
    </row>
    <row r="4905" spans="1:9" x14ac:dyDescent="0.3">
      <c r="A4905" s="2"/>
      <c r="H4905" s="3"/>
      <c r="I4905" s="3"/>
    </row>
    <row r="4906" spans="1:9" x14ac:dyDescent="0.3">
      <c r="A4906" s="2"/>
      <c r="H4906" s="3"/>
      <c r="I4906" s="3"/>
    </row>
    <row r="4907" spans="1:9" x14ac:dyDescent="0.3">
      <c r="A4907" s="2"/>
      <c r="H4907" s="3"/>
      <c r="I4907" s="3"/>
    </row>
    <row r="4908" spans="1:9" x14ac:dyDescent="0.3">
      <c r="A4908" s="2"/>
      <c r="H4908" s="3"/>
      <c r="I4908" s="3"/>
    </row>
    <row r="4909" spans="1:9" x14ac:dyDescent="0.3">
      <c r="A4909" s="2"/>
      <c r="H4909" s="3"/>
      <c r="I4909" s="3"/>
    </row>
    <row r="4910" spans="1:9" x14ac:dyDescent="0.3">
      <c r="A4910" s="2"/>
      <c r="H4910" s="3"/>
      <c r="I4910" s="3"/>
    </row>
    <row r="4911" spans="1:9" x14ac:dyDescent="0.3">
      <c r="A4911" s="2"/>
      <c r="H4911" s="3"/>
      <c r="I4911" s="3"/>
    </row>
    <row r="4912" spans="1:9" x14ac:dyDescent="0.3">
      <c r="A4912" s="2"/>
      <c r="H4912" s="3"/>
      <c r="I4912" s="3"/>
    </row>
    <row r="4913" spans="1:9" x14ac:dyDescent="0.3">
      <c r="A4913" s="2"/>
      <c r="H4913" s="3"/>
      <c r="I4913" s="3"/>
    </row>
    <row r="4914" spans="1:9" x14ac:dyDescent="0.3">
      <c r="A4914" s="2"/>
      <c r="H4914" s="3"/>
      <c r="I4914" s="3"/>
    </row>
    <row r="4915" spans="1:9" x14ac:dyDescent="0.3">
      <c r="A4915" s="2"/>
      <c r="H4915" s="3"/>
      <c r="I4915" s="3"/>
    </row>
    <row r="4916" spans="1:9" x14ac:dyDescent="0.3">
      <c r="A4916" s="2"/>
      <c r="H4916" s="3"/>
      <c r="I4916" s="3"/>
    </row>
    <row r="4917" spans="1:9" x14ac:dyDescent="0.3">
      <c r="A4917" s="2"/>
      <c r="H4917" s="3"/>
      <c r="I4917" s="3"/>
    </row>
    <row r="4918" spans="1:9" x14ac:dyDescent="0.3">
      <c r="A4918" s="2"/>
      <c r="H4918" s="3"/>
      <c r="I4918" s="3"/>
    </row>
    <row r="4919" spans="1:9" x14ac:dyDescent="0.3">
      <c r="A4919" s="2"/>
      <c r="H4919" s="3"/>
      <c r="I4919" s="3"/>
    </row>
    <row r="4920" spans="1:9" x14ac:dyDescent="0.3">
      <c r="A4920" s="2"/>
      <c r="H4920" s="3"/>
      <c r="I4920" s="3"/>
    </row>
    <row r="4921" spans="1:9" x14ac:dyDescent="0.3">
      <c r="A4921" s="2"/>
      <c r="H4921" s="3"/>
      <c r="I4921" s="3"/>
    </row>
    <row r="4922" spans="1:9" x14ac:dyDescent="0.3">
      <c r="A4922" s="2"/>
      <c r="H4922" s="3"/>
      <c r="I4922" s="3"/>
    </row>
    <row r="4923" spans="1:9" x14ac:dyDescent="0.3">
      <c r="A4923" s="2"/>
      <c r="H4923" s="3"/>
      <c r="I4923" s="3"/>
    </row>
    <row r="4924" spans="1:9" x14ac:dyDescent="0.3">
      <c r="A4924" s="2"/>
      <c r="H4924" s="3"/>
      <c r="I4924" s="3"/>
    </row>
    <row r="4925" spans="1:9" x14ac:dyDescent="0.3">
      <c r="A4925" s="2"/>
      <c r="H4925" s="3"/>
      <c r="I4925" s="3"/>
    </row>
    <row r="4926" spans="1:9" x14ac:dyDescent="0.3">
      <c r="A4926" s="2"/>
      <c r="H4926" s="3"/>
      <c r="I4926" s="3"/>
    </row>
    <row r="4927" spans="1:9" x14ac:dyDescent="0.3">
      <c r="A4927" s="2"/>
      <c r="H4927" s="3"/>
      <c r="I4927" s="3"/>
    </row>
    <row r="4928" spans="1:9" x14ac:dyDescent="0.3">
      <c r="A4928" s="2"/>
      <c r="H4928" s="3"/>
      <c r="I4928" s="3"/>
    </row>
    <row r="4929" spans="1:9" x14ac:dyDescent="0.3">
      <c r="A4929" s="2"/>
      <c r="H4929" s="3"/>
      <c r="I4929" s="3"/>
    </row>
    <row r="4930" spans="1:9" x14ac:dyDescent="0.3">
      <c r="A4930" s="2"/>
      <c r="H4930" s="3"/>
      <c r="I4930" s="3"/>
    </row>
    <row r="4931" spans="1:9" x14ac:dyDescent="0.3">
      <c r="A4931" s="2"/>
      <c r="H4931" s="3"/>
      <c r="I4931" s="3"/>
    </row>
    <row r="4932" spans="1:9" x14ac:dyDescent="0.3">
      <c r="A4932" s="2"/>
      <c r="H4932" s="3"/>
      <c r="I4932" s="3"/>
    </row>
    <row r="4933" spans="1:9" x14ac:dyDescent="0.3">
      <c r="A4933" s="2"/>
      <c r="H4933" s="3"/>
      <c r="I4933" s="3"/>
    </row>
    <row r="4934" spans="1:9" x14ac:dyDescent="0.3">
      <c r="A4934" s="2"/>
      <c r="H4934" s="3"/>
      <c r="I4934" s="3"/>
    </row>
    <row r="4935" spans="1:9" x14ac:dyDescent="0.3">
      <c r="A4935" s="2"/>
      <c r="H4935" s="3"/>
      <c r="I4935" s="3"/>
    </row>
    <row r="4936" spans="1:9" x14ac:dyDescent="0.3">
      <c r="A4936" s="2"/>
      <c r="H4936" s="3"/>
      <c r="I4936" s="3"/>
    </row>
    <row r="4937" spans="1:9" x14ac:dyDescent="0.3">
      <c r="A4937" s="2"/>
      <c r="H4937" s="3"/>
      <c r="I4937" s="3"/>
    </row>
    <row r="4938" spans="1:9" x14ac:dyDescent="0.3">
      <c r="A4938" s="2"/>
      <c r="H4938" s="3"/>
      <c r="I4938" s="3"/>
    </row>
    <row r="4939" spans="1:9" x14ac:dyDescent="0.3">
      <c r="A4939" s="2"/>
      <c r="H4939" s="3"/>
      <c r="I4939" s="3"/>
    </row>
    <row r="4940" spans="1:9" x14ac:dyDescent="0.3">
      <c r="A4940" s="2"/>
      <c r="H4940" s="3"/>
      <c r="I4940" s="3"/>
    </row>
    <row r="4941" spans="1:9" x14ac:dyDescent="0.3">
      <c r="A4941" s="2"/>
      <c r="H4941" s="3"/>
      <c r="I4941" s="3"/>
    </row>
    <row r="4942" spans="1:9" x14ac:dyDescent="0.3">
      <c r="A4942" s="2"/>
      <c r="H4942" s="3"/>
      <c r="I4942" s="3"/>
    </row>
    <row r="4943" spans="1:9" x14ac:dyDescent="0.3">
      <c r="A4943" s="2"/>
      <c r="H4943" s="3"/>
      <c r="I4943" s="3"/>
    </row>
    <row r="4944" spans="1:9" x14ac:dyDescent="0.3">
      <c r="A4944" s="2"/>
      <c r="H4944" s="3"/>
      <c r="I4944" s="3"/>
    </row>
    <row r="4945" spans="1:9" x14ac:dyDescent="0.3">
      <c r="A4945" s="2"/>
      <c r="H4945" s="3"/>
      <c r="I4945" s="3"/>
    </row>
    <row r="4946" spans="1:9" x14ac:dyDescent="0.3">
      <c r="A4946" s="2"/>
      <c r="H4946" s="3"/>
      <c r="I4946" s="3"/>
    </row>
    <row r="4947" spans="1:9" x14ac:dyDescent="0.3">
      <c r="A4947" s="2"/>
      <c r="H4947" s="3"/>
      <c r="I4947" s="3"/>
    </row>
    <row r="4948" spans="1:9" x14ac:dyDescent="0.3">
      <c r="A4948" s="2"/>
      <c r="H4948" s="3"/>
      <c r="I4948" s="3"/>
    </row>
    <row r="4949" spans="1:9" x14ac:dyDescent="0.3">
      <c r="A4949" s="2"/>
      <c r="H4949" s="3"/>
      <c r="I4949" s="3"/>
    </row>
    <row r="4950" spans="1:9" x14ac:dyDescent="0.3">
      <c r="A4950" s="2"/>
      <c r="H4950" s="3"/>
      <c r="I4950" s="3"/>
    </row>
    <row r="4951" spans="1:9" x14ac:dyDescent="0.3">
      <c r="A4951" s="2"/>
      <c r="H4951" s="3"/>
      <c r="I4951" s="3"/>
    </row>
    <row r="4952" spans="1:9" x14ac:dyDescent="0.3">
      <c r="A4952" s="2"/>
      <c r="H4952" s="3"/>
      <c r="I4952" s="3"/>
    </row>
    <row r="4953" spans="1:9" x14ac:dyDescent="0.3">
      <c r="A4953" s="2"/>
      <c r="H4953" s="3"/>
      <c r="I4953" s="3"/>
    </row>
    <row r="4954" spans="1:9" x14ac:dyDescent="0.3">
      <c r="A4954" s="2"/>
      <c r="H4954" s="3"/>
      <c r="I4954" s="3"/>
    </row>
    <row r="4955" spans="1:9" x14ac:dyDescent="0.3">
      <c r="A4955" s="2"/>
      <c r="H4955" s="3"/>
      <c r="I4955" s="3"/>
    </row>
    <row r="4956" spans="1:9" x14ac:dyDescent="0.3">
      <c r="A4956" s="2"/>
      <c r="H4956" s="3"/>
      <c r="I4956" s="3"/>
    </row>
    <row r="4957" spans="1:9" x14ac:dyDescent="0.3">
      <c r="A4957" s="2"/>
      <c r="H4957" s="3"/>
      <c r="I4957" s="3"/>
    </row>
    <row r="4958" spans="1:9" x14ac:dyDescent="0.3">
      <c r="A4958" s="2"/>
      <c r="H4958" s="3"/>
      <c r="I4958" s="3"/>
    </row>
    <row r="4959" spans="1:9" x14ac:dyDescent="0.3">
      <c r="A4959" s="2"/>
      <c r="H4959" s="3"/>
      <c r="I4959" s="3"/>
    </row>
    <row r="4960" spans="1:9" x14ac:dyDescent="0.3">
      <c r="A4960" s="2"/>
      <c r="H4960" s="3"/>
      <c r="I4960" s="3"/>
    </row>
    <row r="4961" spans="1:9" x14ac:dyDescent="0.3">
      <c r="A4961" s="2"/>
      <c r="H4961" s="3"/>
      <c r="I4961" s="3"/>
    </row>
    <row r="4962" spans="1:9" x14ac:dyDescent="0.3">
      <c r="A4962" s="2"/>
      <c r="H4962" s="3"/>
      <c r="I4962" s="3"/>
    </row>
    <row r="4963" spans="1:9" x14ac:dyDescent="0.3">
      <c r="A4963" s="2"/>
      <c r="H4963" s="3"/>
      <c r="I4963" s="3"/>
    </row>
    <row r="4964" spans="1:9" x14ac:dyDescent="0.3">
      <c r="A4964" s="2"/>
      <c r="H4964" s="3"/>
      <c r="I4964" s="3"/>
    </row>
    <row r="4965" spans="1:9" x14ac:dyDescent="0.3">
      <c r="A4965" s="2"/>
      <c r="H4965" s="3"/>
      <c r="I4965" s="3"/>
    </row>
    <row r="4966" spans="1:9" x14ac:dyDescent="0.3">
      <c r="A4966" s="2"/>
      <c r="H4966" s="3"/>
      <c r="I4966" s="3"/>
    </row>
    <row r="4967" spans="1:9" x14ac:dyDescent="0.3">
      <c r="A4967" s="2"/>
      <c r="H4967" s="3"/>
      <c r="I4967" s="3"/>
    </row>
    <row r="4968" spans="1:9" x14ac:dyDescent="0.3">
      <c r="A4968" s="2"/>
      <c r="H4968" s="3"/>
      <c r="I4968" s="3"/>
    </row>
    <row r="4969" spans="1:9" x14ac:dyDescent="0.3">
      <c r="A4969" s="2"/>
      <c r="H4969" s="3"/>
      <c r="I4969" s="3"/>
    </row>
    <row r="4970" spans="1:9" x14ac:dyDescent="0.3">
      <c r="A4970" s="2"/>
      <c r="H4970" s="3"/>
      <c r="I4970" s="3"/>
    </row>
    <row r="4971" spans="1:9" x14ac:dyDescent="0.3">
      <c r="A4971" s="2"/>
      <c r="H4971" s="3"/>
      <c r="I4971" s="3"/>
    </row>
    <row r="4972" spans="1:9" x14ac:dyDescent="0.3">
      <c r="A4972" s="2"/>
      <c r="H4972" s="3"/>
      <c r="I4972" s="3"/>
    </row>
    <row r="4973" spans="1:9" x14ac:dyDescent="0.3">
      <c r="A4973" s="2"/>
      <c r="H4973" s="3"/>
      <c r="I4973" s="3"/>
    </row>
    <row r="4974" spans="1:9" x14ac:dyDescent="0.3">
      <c r="A4974" s="2"/>
      <c r="H4974" s="3"/>
      <c r="I4974" s="3"/>
    </row>
    <row r="4975" spans="1:9" x14ac:dyDescent="0.3">
      <c r="A4975" s="2"/>
      <c r="H4975" s="3"/>
      <c r="I4975" s="3"/>
    </row>
    <row r="4976" spans="1:9" x14ac:dyDescent="0.3">
      <c r="A4976" s="2"/>
      <c r="H4976" s="3"/>
      <c r="I4976" s="3"/>
    </row>
    <row r="4977" spans="1:9" x14ac:dyDescent="0.3">
      <c r="A4977" s="2"/>
      <c r="H4977" s="3"/>
      <c r="I4977" s="3"/>
    </row>
    <row r="4978" spans="1:9" x14ac:dyDescent="0.3">
      <c r="A4978" s="2"/>
      <c r="H4978" s="3"/>
      <c r="I4978" s="3"/>
    </row>
    <row r="4979" spans="1:9" x14ac:dyDescent="0.3">
      <c r="A4979" s="2"/>
      <c r="H4979" s="3"/>
      <c r="I4979" s="3"/>
    </row>
    <row r="4980" spans="1:9" x14ac:dyDescent="0.3">
      <c r="A4980" s="2"/>
      <c r="H4980" s="3"/>
      <c r="I4980" s="3"/>
    </row>
    <row r="4981" spans="1:9" x14ac:dyDescent="0.3">
      <c r="A4981" s="2"/>
      <c r="H4981" s="3"/>
      <c r="I4981" s="3"/>
    </row>
    <row r="4982" spans="1:9" x14ac:dyDescent="0.3">
      <c r="A4982" s="2"/>
      <c r="H4982" s="3"/>
      <c r="I4982" s="3"/>
    </row>
    <row r="4983" spans="1:9" x14ac:dyDescent="0.3">
      <c r="A4983" s="2"/>
      <c r="H4983" s="3"/>
      <c r="I4983" s="3"/>
    </row>
    <row r="4984" spans="1:9" x14ac:dyDescent="0.3">
      <c r="A4984" s="2"/>
      <c r="H4984" s="3"/>
      <c r="I4984" s="3"/>
    </row>
    <row r="4985" spans="1:9" x14ac:dyDescent="0.3">
      <c r="A4985" s="2"/>
      <c r="H4985" s="3"/>
      <c r="I4985" s="3"/>
    </row>
    <row r="4986" spans="1:9" x14ac:dyDescent="0.3">
      <c r="A4986" s="2"/>
      <c r="H4986" s="3"/>
      <c r="I4986" s="3"/>
    </row>
    <row r="4987" spans="1:9" x14ac:dyDescent="0.3">
      <c r="A4987" s="2"/>
      <c r="H4987" s="3"/>
      <c r="I4987" s="3"/>
    </row>
    <row r="4988" spans="1:9" x14ac:dyDescent="0.3">
      <c r="A4988" s="2"/>
      <c r="H4988" s="3"/>
      <c r="I4988" s="3"/>
    </row>
    <row r="4989" spans="1:9" x14ac:dyDescent="0.3">
      <c r="A4989" s="2"/>
      <c r="H4989" s="3"/>
      <c r="I4989" s="3"/>
    </row>
    <row r="4990" spans="1:9" x14ac:dyDescent="0.3">
      <c r="A4990" s="2"/>
      <c r="H4990" s="3"/>
      <c r="I4990" s="3"/>
    </row>
    <row r="4991" spans="1:9" x14ac:dyDescent="0.3">
      <c r="A4991" s="2"/>
      <c r="H4991" s="3"/>
      <c r="I4991" s="3"/>
    </row>
    <row r="4992" spans="1:9" x14ac:dyDescent="0.3">
      <c r="A4992" s="2"/>
      <c r="H4992" s="3"/>
      <c r="I4992" s="3"/>
    </row>
    <row r="4993" spans="1:9" x14ac:dyDescent="0.3">
      <c r="A4993" s="2"/>
      <c r="H4993" s="3"/>
      <c r="I4993" s="3"/>
    </row>
    <row r="4994" spans="1:9" x14ac:dyDescent="0.3">
      <c r="A4994" s="2"/>
      <c r="H4994" s="3"/>
      <c r="I4994" s="3"/>
    </row>
    <row r="4995" spans="1:9" x14ac:dyDescent="0.3">
      <c r="A4995" s="2"/>
      <c r="H4995" s="3"/>
      <c r="I4995" s="3"/>
    </row>
    <row r="4996" spans="1:9" x14ac:dyDescent="0.3">
      <c r="A4996" s="2"/>
      <c r="H4996" s="3"/>
      <c r="I4996" s="3"/>
    </row>
    <row r="4997" spans="1:9" x14ac:dyDescent="0.3">
      <c r="A4997" s="2"/>
      <c r="H4997" s="3"/>
      <c r="I4997" s="3"/>
    </row>
    <row r="4998" spans="1:9" x14ac:dyDescent="0.3">
      <c r="A4998" s="2"/>
      <c r="H4998" s="3"/>
      <c r="I4998" s="3"/>
    </row>
    <row r="4999" spans="1:9" x14ac:dyDescent="0.3">
      <c r="A4999" s="2"/>
      <c r="H4999" s="3"/>
      <c r="I4999" s="3"/>
    </row>
    <row r="5000" spans="1:9" x14ac:dyDescent="0.3">
      <c r="A5000" s="2"/>
      <c r="H5000" s="3"/>
      <c r="I5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CADTH</vt:lpstr>
      <vt:lpstr>pCPA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Jordi Montoya</cp:lastModifiedBy>
  <dcterms:created xsi:type="dcterms:W3CDTF">2021-10-12T20:07:45Z</dcterms:created>
  <dcterms:modified xsi:type="dcterms:W3CDTF">2021-10-12T20:07:46Z</dcterms:modified>
</cp:coreProperties>
</file>