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CPA" sheetId="1" r:id="rId1"/>
    <sheet name="CADTH" sheetId="2" r:id="rId2"/>
  </sheets>
  <calcPr calcId="124519" fullCalcOnLoad="1"/>
</workbook>
</file>

<file path=xl/styles.xml><?xml version="1.0" encoding="utf-8"?>
<styleSheet xmlns="http://schemas.openxmlformats.org/spreadsheetml/2006/main">
  <numFmts count="1">
    <numFmt numFmtId="164" formatCode="dd-mmm-yyyy"/>
  </numFmts>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518"/>
  <sheetViews>
    <sheetView tabSelected="1" workbookViewId="0"/>
  </sheetViews>
  <sheetFormatPr defaultRowHeight="15"/>
  <cols>
    <col min="1" max="1" width="9.140625" style="2"/>
    <col min="9" max="9" width="9.140625" style="3"/>
    <col min="10" max="10" width="9.140625" style="3"/>
  </cols>
  <sheetData>
    <row r="1">
      <c r="A1" s="1" t="inlineStr">
        <is>
          <t>Product</t>
        </is>
      </c>
      <c r="B1" s="1" t="inlineStr">
        <is>
          <t>Manufacturer</t>
        </is>
      </c>
      <c r="C1" s="1" t="inlineStr">
        <is>
          <t>Status</t>
        </is>
      </c>
      <c r="D1" s="1" t="inlineStr">
        <is>
          <t>Indication</t>
        </is>
      </c>
      <c r="E1" s="1" t="inlineStr">
        <is>
          <t>pCPA File Number</t>
        </is>
      </c>
      <c r="F1" s="1" t="inlineStr">
        <is>
          <t>Sponsor/Manufacturer</t>
        </is>
      </c>
      <c r="G1" s="1" t="inlineStr">
        <is>
          <t>CADTH Project Number</t>
        </is>
      </c>
      <c r="H1" s="1" t="inlineStr">
        <is>
          <t>pCPA Engagement Letter Issued</t>
        </is>
      </c>
      <c r="I1" s="1" t="inlineStr">
        <is>
          <t>Negotiation Process Concluded</t>
        </is>
      </c>
    </row>
    <row r="2">
      <c r="A2" s="2">
        <f>HYPERLINK("https://www.pcpacanada.ca/negotiation/21316", "Jorveza  (budesonide)")</f>
        <v>0</v>
      </c>
      <c r="B2" t="inlineStr">
        <is>
          <t>AVIR Pharma Inc.</t>
        </is>
      </c>
      <c r="C2" t="inlineStr">
        <is>
          <t>Under consideration for negotiation</t>
        </is>
      </c>
      <c r="D2" t="inlineStr">
        <is>
          <t>Eosinophilic esophagitis</t>
        </is>
      </c>
      <c r="E2" t="inlineStr">
        <is>
          <t>21316</t>
        </is>
      </c>
      <c r="F2" t="inlineStr">
        <is>
          <t>AVIR Pharma Inc.</t>
        </is>
      </c>
      <c r="G2" t="inlineStr">
        <is>
          <t>SR0634-000</t>
        </is>
      </c>
      <c r="H2" t="inlineStr">
        <is>
          <t>Not Applicable</t>
        </is>
      </c>
      <c r="I2" s="3" t="inlineStr">
        <is>
          <t>Not Applicable</t>
        </is>
      </c>
    </row>
    <row r="3">
      <c r="A3" s="2">
        <f>HYPERLINK("https://www.pcpacanada.ca/negotiation/21312", "Duobrii  (Halobetasol propionate and tazarotene)")</f>
        <v>0</v>
      </c>
      <c r="B3" t="inlineStr">
        <is>
          <t>Bausch Health, Canada Inc.</t>
        </is>
      </c>
      <c r="C3" t="inlineStr">
        <is>
          <t>Under consideration for negotiation</t>
        </is>
      </c>
      <c r="D3" t="inlineStr">
        <is>
          <t>Psoriasis, moderate to severe plaque</t>
        </is>
      </c>
      <c r="E3" t="inlineStr">
        <is>
          <t>21312</t>
        </is>
      </c>
      <c r="F3" t="inlineStr">
        <is>
          <t>Bausch Health, Canada Inc.</t>
        </is>
      </c>
      <c r="G3" t="inlineStr">
        <is>
          <t>SR0638-000</t>
        </is>
      </c>
      <c r="H3" t="inlineStr">
        <is>
          <t>Not Applicable</t>
        </is>
      </c>
      <c r="I3" s="3" t="inlineStr">
        <is>
          <t>Not Applicable</t>
        </is>
      </c>
    </row>
    <row r="4">
      <c r="A4" s="2">
        <f>HYPERLINK("https://www.pcpacanada.ca/negotiation/21309", "Nexplanon  (etonogestrel)")</f>
        <v>0</v>
      </c>
      <c r="B4" t="inlineStr">
        <is>
          <t>MERCK CANADA INC</t>
        </is>
      </c>
      <c r="C4" t="inlineStr">
        <is>
          <t>Under consideration for negotiation</t>
        </is>
      </c>
      <c r="D4" t="inlineStr">
        <is>
          <t>prevention of pregnancy</t>
        </is>
      </c>
      <c r="E4" t="inlineStr">
        <is>
          <t>21309</t>
        </is>
      </c>
      <c r="F4" t="inlineStr">
        <is>
          <t>MERCK CANADA INC</t>
        </is>
      </c>
      <c r="G4" t="inlineStr">
        <is>
          <t>SR0648-000</t>
        </is>
      </c>
      <c r="H4" t="inlineStr">
        <is>
          <t>Not Applicable</t>
        </is>
      </c>
      <c r="I4" s="3" t="inlineStr">
        <is>
          <t>Not Applicable</t>
        </is>
      </c>
    </row>
    <row r="5">
      <c r="A5" s="2">
        <f>HYPERLINK("https://www.pcpacanada.ca/negotiation/21306", "Soliris  (eculizumab)")</f>
        <v>0</v>
      </c>
      <c r="B5" t="inlineStr">
        <is>
          <t>Alexion Pharma GMBH</t>
        </is>
      </c>
      <c r="C5" t="inlineStr">
        <is>
          <t>Under consideration for negotiation</t>
        </is>
      </c>
      <c r="D5" t="inlineStr">
        <is>
          <t>Myasthenia Gravis</t>
        </is>
      </c>
      <c r="E5" t="inlineStr">
        <is>
          <t>21306</t>
        </is>
      </c>
      <c r="F5" t="inlineStr">
        <is>
          <t>Alexion Pharma GMBH</t>
        </is>
      </c>
      <c r="G5" t="inlineStr">
        <is>
          <t>SR0605-000</t>
        </is>
      </c>
      <c r="H5" t="inlineStr">
        <is>
          <t>Not Applicable</t>
        </is>
      </c>
      <c r="I5" s="3" t="inlineStr">
        <is>
          <t>Not Applicable</t>
        </is>
      </c>
    </row>
    <row r="6">
      <c r="A6" s="2">
        <f>HYPERLINK("https://www.pcpacanada.ca/negotiation/21304", "Zejula  (Niraparib)")</f>
        <v>0</v>
      </c>
      <c r="B6" t="inlineStr">
        <is>
          <t>GlaxoSmithKline Inc.</t>
        </is>
      </c>
      <c r="C6" t="inlineStr">
        <is>
          <t>Under consideration for negotiation</t>
        </is>
      </c>
      <c r="D6" t="inlineStr">
        <is>
          <t>Ovarian Cancer</t>
        </is>
      </c>
      <c r="E6" t="inlineStr">
        <is>
          <t>21304</t>
        </is>
      </c>
      <c r="F6" t="inlineStr">
        <is>
          <t>GlaxoSmithKline Inc.</t>
        </is>
      </c>
      <c r="G6" t="inlineStr">
        <is>
          <t>pCODR 10203</t>
        </is>
      </c>
      <c r="H6" t="inlineStr">
        <is>
          <t>Not Applicable</t>
        </is>
      </c>
      <c r="I6" s="3" t="inlineStr">
        <is>
          <t>Not Applicable</t>
        </is>
      </c>
    </row>
    <row r="7">
      <c r="A7" s="2">
        <f>HYPERLINK("https://www.pcpacanada.ca/negotiation/21298", "Xtandi  (enzalutamide)")</f>
        <v>0</v>
      </c>
      <c r="B7" t="inlineStr">
        <is>
          <t>Astellas Pharma Inc.</t>
        </is>
      </c>
      <c r="C7" t="inlineStr">
        <is>
          <t>Active Negotiation</t>
        </is>
      </c>
      <c r="D7" t="inlineStr">
        <is>
          <t>Metastatic Castration Sensitive Prostate Cancer</t>
        </is>
      </c>
      <c r="E7" t="inlineStr">
        <is>
          <t>21298</t>
        </is>
      </c>
      <c r="F7" t="inlineStr">
        <is>
          <t>Astellas Pharma Inc.</t>
        </is>
      </c>
      <c r="G7" t="inlineStr">
        <is>
          <t>pCODR 10209</t>
        </is>
      </c>
      <c r="H7">
        <v>44134</v>
      </c>
      <c r="I7" s="3" t="inlineStr">
        <is>
          <t>Not Applicable</t>
        </is>
      </c>
    </row>
    <row r="8">
      <c r="A8" s="2">
        <f>HYPERLINK("https://www.pcpacanada.ca/negotiation/21295", "Cablivi  (caplacizumab)")</f>
        <v>0</v>
      </c>
      <c r="B8" t="inlineStr">
        <is>
          <t>SANOFI-AVENTIS</t>
        </is>
      </c>
      <c r="C8" t="inlineStr">
        <is>
          <t>Negotiations were not pursued</t>
        </is>
      </c>
      <c r="D8" t="inlineStr">
        <is>
          <t>acquired thrombotic thrombocytopenic purpura (aTTP)</t>
        </is>
      </c>
      <c r="E8" t="inlineStr">
        <is>
          <t>21295</t>
        </is>
      </c>
      <c r="F8" t="inlineStr">
        <is>
          <t>SANOFI-AVENTIS</t>
        </is>
      </c>
      <c r="G8" t="inlineStr">
        <is>
          <t>SR0633-000</t>
        </is>
      </c>
      <c r="H8" t="inlineStr">
        <is>
          <t>Not Applicable</t>
        </is>
      </c>
      <c r="I8" s="3">
        <v>44127</v>
      </c>
    </row>
    <row r="9">
      <c r="A9" s="2">
        <f>HYPERLINK("https://www.pcpacanada.ca/negotiation/21290", "Rituxan SC  (rituximab)")</f>
        <v>0</v>
      </c>
      <c r="B9" t="inlineStr">
        <is>
          <t>Hoffmann-La Roche</t>
        </is>
      </c>
      <c r="C9" t="inlineStr">
        <is>
          <t>Concluded with an LOI</t>
        </is>
      </c>
      <c r="D9" t="inlineStr">
        <is>
          <t>Chronic Lymphocytic Leukemia</t>
        </is>
      </c>
      <c r="E9" t="inlineStr">
        <is>
          <t>21290</t>
        </is>
      </c>
      <c r="F9" t="inlineStr">
        <is>
          <t>Hoffmann-La Roche</t>
        </is>
      </c>
      <c r="G9" t="inlineStr">
        <is>
          <t>Not Applicable</t>
        </is>
      </c>
      <c r="H9">
        <v>44054</v>
      </c>
      <c r="I9" s="3">
        <v>44118</v>
      </c>
    </row>
    <row r="10">
      <c r="A10" s="2">
        <f>HYPERLINK("https://www.pcpacanada.ca/negotiation/21289", "Tecentriq &amp; Avastin  (Atezolizumab &amp; Bevacizumab)")</f>
        <v>0</v>
      </c>
      <c r="B10" t="inlineStr">
        <is>
          <t>HOFFMANN-LA ROCHE LIMITED</t>
        </is>
      </c>
      <c r="C10" t="inlineStr">
        <is>
          <t>Negotiations were not pursued</t>
        </is>
      </c>
      <c r="D10" t="inlineStr">
        <is>
          <t>Non-Squamous Non-Small Cell Lung Cancer</t>
        </is>
      </c>
      <c r="E10" t="inlineStr">
        <is>
          <t>21289</t>
        </is>
      </c>
      <c r="F10" t="inlineStr">
        <is>
          <t>HOFFMANN-LA ROCHE LIMITED</t>
        </is>
      </c>
      <c r="G10" t="inlineStr">
        <is>
          <t>pCODR 10155</t>
        </is>
      </c>
      <c r="H10" t="inlineStr">
        <is>
          <t>Not Applicable</t>
        </is>
      </c>
      <c r="I10" s="3">
        <v>44075</v>
      </c>
    </row>
    <row r="11">
      <c r="A11" s="2">
        <f>HYPERLINK("https://www.pcpacanada.ca/negotiation/21286", "Aimovig  (erenumab)")</f>
        <v>0</v>
      </c>
      <c r="B11" t="inlineStr">
        <is>
          <t>NOVARTIS PHARMACEUTICALS CANADA INC</t>
        </is>
      </c>
      <c r="C11" t="inlineStr">
        <is>
          <t>Under consideration for negotiation</t>
        </is>
      </c>
      <c r="D11" t="inlineStr">
        <is>
          <t>migraine, chronic</t>
        </is>
      </c>
      <c r="E11" t="inlineStr">
        <is>
          <t>21286</t>
        </is>
      </c>
      <c r="F11" t="inlineStr">
        <is>
          <t>NOVARTIS PHARMACEUTICALS CANADA INC</t>
        </is>
      </c>
      <c r="G11" t="inlineStr">
        <is>
          <t>SR0578-000</t>
        </is>
      </c>
      <c r="H11" t="inlineStr">
        <is>
          <t>Not Applicable</t>
        </is>
      </c>
      <c r="I11" s="3" t="inlineStr">
        <is>
          <t>Not Applicable</t>
        </is>
      </c>
    </row>
    <row r="12">
      <c r="A12" s="2">
        <f>HYPERLINK("https://www.pcpacanada.ca/negotiation/21283", "Vocabria and Cabenuva  (cabotegravir and rilpivirine)")</f>
        <v>0</v>
      </c>
      <c r="B12" t="inlineStr">
        <is>
          <t>VIIV HEALTHCARE ULC</t>
        </is>
      </c>
      <c r="C12" t="inlineStr">
        <is>
          <t>Active Negotiation</t>
        </is>
      </c>
      <c r="D12" t="inlineStr">
        <is>
          <t>HIV Infection</t>
        </is>
      </c>
      <c r="E12" t="inlineStr">
        <is>
          <t>21283</t>
        </is>
      </c>
      <c r="F12" t="inlineStr">
        <is>
          <t>VIIV HEALTHCARE ULC</t>
        </is>
      </c>
      <c r="G12" t="inlineStr">
        <is>
          <t>SR0628-000</t>
        </is>
      </c>
      <c r="H12">
        <v>44126</v>
      </c>
      <c r="I12" s="3" t="inlineStr">
        <is>
          <t>Not Applicable</t>
        </is>
      </c>
    </row>
    <row r="13">
      <c r="A13" s="2">
        <f>HYPERLINK("https://www.pcpacanada.ca/negotiation/21280", "Mayzent  (siponimod)")</f>
        <v>0</v>
      </c>
      <c r="B13" t="inlineStr">
        <is>
          <t>NOVARTIS PHARMACEUTICALS CANADA INC</t>
        </is>
      </c>
      <c r="C13" t="inlineStr">
        <is>
          <t>Under consideration for negotiation</t>
        </is>
      </c>
      <c r="D13" t="inlineStr">
        <is>
          <t>Secondary progressive multiple sclerosis (SPMS)</t>
        </is>
      </c>
      <c r="E13" t="inlineStr">
        <is>
          <t>21280</t>
        </is>
      </c>
      <c r="F13" t="inlineStr">
        <is>
          <t>NOVARTIS PHARMACEUTICALS CANADA INC</t>
        </is>
      </c>
      <c r="G13" t="inlineStr">
        <is>
          <t>SR0631-000</t>
        </is>
      </c>
      <c r="H13" t="inlineStr">
        <is>
          <t>Not Applicable</t>
        </is>
      </c>
      <c r="I13" s="3" t="inlineStr">
        <is>
          <t>Not Applicable</t>
        </is>
      </c>
    </row>
    <row r="14">
      <c r="A14" s="2">
        <f>HYPERLINK("https://www.pcpacanada.ca/negotiation/21276", "Vascepa  (icosapent ethyl)")</f>
        <v>0</v>
      </c>
      <c r="B14" t="inlineStr">
        <is>
          <t>HLS THERAPEUTICS INC</t>
        </is>
      </c>
      <c r="C14" t="inlineStr">
        <is>
          <t>Under consideration for negotiation</t>
        </is>
      </c>
      <c r="D14" t="inlineStr">
        <is>
          <t>Ischemic events in statin-treated patients</t>
        </is>
      </c>
      <c r="E14" t="inlineStr">
        <is>
          <t>21276</t>
        </is>
      </c>
      <c r="F14" t="inlineStr">
        <is>
          <t>HLS THERAPEUTICS INC</t>
        </is>
      </c>
      <c r="G14" t="inlineStr">
        <is>
          <t>SR0619-000</t>
        </is>
      </c>
      <c r="H14" t="inlineStr">
        <is>
          <t>Not Applicable</t>
        </is>
      </c>
      <c r="I14" s="3" t="inlineStr">
        <is>
          <t>Not Applicable</t>
        </is>
      </c>
    </row>
    <row r="15">
      <c r="A15" s="2">
        <f>HYPERLINK("https://www.pcpacanada.ca/negotiation/21272", "Stelara  (ustekinumab)")</f>
        <v>0</v>
      </c>
      <c r="B15" t="inlineStr">
        <is>
          <t>Janssen Inc.</t>
        </is>
      </c>
      <c r="C15" t="inlineStr">
        <is>
          <t>Under consideration for negotiation</t>
        </is>
      </c>
      <c r="D15" t="inlineStr">
        <is>
          <t>Ulcerative Colitis</t>
        </is>
      </c>
      <c r="E15" t="inlineStr">
        <is>
          <t>21272</t>
        </is>
      </c>
      <c r="F15" t="inlineStr">
        <is>
          <t>Janssen Inc.</t>
        </is>
      </c>
      <c r="G15" t="inlineStr">
        <is>
          <t>SR0627-000</t>
        </is>
      </c>
      <c r="H15" t="inlineStr">
        <is>
          <t>Not Applicable</t>
        </is>
      </c>
      <c r="I15" s="3" t="inlineStr">
        <is>
          <t>Not Applicable</t>
        </is>
      </c>
    </row>
    <row r="16">
      <c r="A16" s="2">
        <f>HYPERLINK("https://www.pcpacanada.ca/negotiation/21270", "Soliris  (eculizumab)")</f>
        <v>0</v>
      </c>
      <c r="B16" t="inlineStr">
        <is>
          <t>Alexion Pharma GMBH</t>
        </is>
      </c>
      <c r="C16" t="inlineStr">
        <is>
          <t>Under consideration for negotiation</t>
        </is>
      </c>
      <c r="D16" t="inlineStr">
        <is>
          <t>Neuromyelitis optica spectrum disorder (NMOSD)</t>
        </is>
      </c>
      <c r="E16" t="inlineStr">
        <is>
          <t>21270</t>
        </is>
      </c>
      <c r="F16" t="inlineStr">
        <is>
          <t>Alexion Pharma GMBH</t>
        </is>
      </c>
      <c r="G16" t="inlineStr">
        <is>
          <t>SR0640-000</t>
        </is>
      </c>
      <c r="H16" t="inlineStr">
        <is>
          <t>Not Applicable</t>
        </is>
      </c>
      <c r="I16" s="3" t="inlineStr">
        <is>
          <t>Not Applicable</t>
        </is>
      </c>
    </row>
    <row r="17">
      <c r="A17" s="2">
        <f>HYPERLINK("https://www.pcpacanada.ca/negotiation/21266", "Darzalex SC  (Daratumumab )")</f>
        <v>0</v>
      </c>
      <c r="B17" t="inlineStr">
        <is>
          <t>Janssen Inc.</t>
        </is>
      </c>
      <c r="C17" t="inlineStr">
        <is>
          <t>Active Negotiation</t>
        </is>
      </c>
      <c r="D17" t="inlineStr">
        <is>
          <t>Multiple Myeloma</t>
        </is>
      </c>
      <c r="E17" t="inlineStr">
        <is>
          <t>21266</t>
        </is>
      </c>
      <c r="F17" t="inlineStr">
        <is>
          <t>Janssen Inc.</t>
        </is>
      </c>
      <c r="G17" t="inlineStr">
        <is>
          <t>Not Applicable</t>
        </is>
      </c>
      <c r="H17">
        <v>44022</v>
      </c>
      <c r="I17" s="3" t="inlineStr">
        <is>
          <t>Not Applicable</t>
        </is>
      </c>
    </row>
    <row r="18">
      <c r="A18" s="2">
        <f>HYPERLINK("https://www.pcpacanada.ca/negotiation/21264", "Adcetris  (brentuximab vedotin)")</f>
        <v>0</v>
      </c>
      <c r="B18" t="inlineStr">
        <is>
          <t>Seattle Genetics Inc.</t>
        </is>
      </c>
      <c r="C18" t="inlineStr">
        <is>
          <t>Concluded with an LOI</t>
        </is>
      </c>
      <c r="D18" t="inlineStr">
        <is>
          <t>Peripheral T-Cell Lymphoma</t>
        </is>
      </c>
      <c r="E18" t="inlineStr">
        <is>
          <t>21264</t>
        </is>
      </c>
      <c r="F18" t="inlineStr">
        <is>
          <t>Seattle Genetics Inc.</t>
        </is>
      </c>
      <c r="G18" t="inlineStr">
        <is>
          <t>pCODR 10199</t>
        </is>
      </c>
      <c r="H18">
        <v>44015</v>
      </c>
      <c r="I18" s="3">
        <v>44095</v>
      </c>
    </row>
    <row r="19">
      <c r="A19" s="2">
        <f>HYPERLINK("https://www.pcpacanada.ca/negotiation/21261", "Cuvposa  (Glycopyrrolate)")</f>
        <v>0</v>
      </c>
      <c r="B19" t="inlineStr">
        <is>
          <t>Medexus Inc.</t>
        </is>
      </c>
      <c r="C19" t="inlineStr">
        <is>
          <t>Under consideration for negotiation</t>
        </is>
      </c>
      <c r="D19" t="inlineStr">
        <is>
          <t>chronic severe drooling, neurologic (pediatric)</t>
        </is>
      </c>
      <c r="E19" t="inlineStr">
        <is>
          <t>21261</t>
        </is>
      </c>
      <c r="F19" t="inlineStr">
        <is>
          <t>Medexus Inc.</t>
        </is>
      </c>
      <c r="G19" t="inlineStr">
        <is>
          <t>SR0613-000</t>
        </is>
      </c>
      <c r="H19" t="inlineStr">
        <is>
          <t>Not Applicable</t>
        </is>
      </c>
      <c r="I19" s="3" t="inlineStr">
        <is>
          <t>Not Applicable</t>
        </is>
      </c>
    </row>
    <row r="20">
      <c r="A20" s="2">
        <f>HYPERLINK("https://www.pcpacanada.ca/negotiation/21257", "Xospata  (Gilteritinib)")</f>
        <v>0</v>
      </c>
      <c r="B20" t="inlineStr">
        <is>
          <t>Astellas Pharma Inc.</t>
        </is>
      </c>
      <c r="C20" t="inlineStr">
        <is>
          <t>Active Negotiation</t>
        </is>
      </c>
      <c r="D20" t="inlineStr">
        <is>
          <t>Acute Myeloid Leukemia</t>
        </is>
      </c>
      <c r="E20" t="inlineStr">
        <is>
          <t>21257</t>
        </is>
      </c>
      <c r="F20" t="inlineStr">
        <is>
          <t>Astellas Pharma Inc.</t>
        </is>
      </c>
      <c r="G20" t="inlineStr">
        <is>
          <t>pCODR 10202</t>
        </is>
      </c>
      <c r="H20">
        <v>44060</v>
      </c>
      <c r="I20" s="3" t="inlineStr">
        <is>
          <t>Not Applicable</t>
        </is>
      </c>
    </row>
    <row r="21">
      <c r="A21" s="2">
        <f>HYPERLINK("https://www.pcpacanada.ca/negotiation/21254", "Aermony Respiclick  (fluticasone propionate)")</f>
        <v>0</v>
      </c>
      <c r="B21" t="inlineStr">
        <is>
          <t>Teva Canada Limited</t>
        </is>
      </c>
      <c r="C21" t="inlineStr">
        <is>
          <t>Active Negotiation</t>
        </is>
      </c>
      <c r="D21" t="inlineStr">
        <is>
          <t>Asthma</t>
        </is>
      </c>
      <c r="E21" t="inlineStr">
        <is>
          <t>21254</t>
        </is>
      </c>
      <c r="F21" t="inlineStr">
        <is>
          <t>Teva Canada Limited</t>
        </is>
      </c>
      <c r="G21" t="inlineStr">
        <is>
          <t>Not Applicable</t>
        </is>
      </c>
      <c r="H21">
        <v>44111</v>
      </c>
      <c r="I21" s="3" t="inlineStr">
        <is>
          <t>Not Applicable</t>
        </is>
      </c>
    </row>
    <row r="22">
      <c r="A22" s="2">
        <f>HYPERLINK("https://www.pcpacanada.ca/negotiation/21252", "Kisqali  (ribociclib)")</f>
        <v>0</v>
      </c>
      <c r="B22" t="inlineStr">
        <is>
          <t>Novartis Pharmaceuticals Canada Inc.</t>
        </is>
      </c>
      <c r="C22" t="inlineStr">
        <is>
          <t>Concluded with an LOI</t>
        </is>
      </c>
      <c r="D22" t="inlineStr">
        <is>
          <t>Advanced or Metastatic Breast Cancer</t>
        </is>
      </c>
      <c r="E22" t="inlineStr">
        <is>
          <t>21252</t>
        </is>
      </c>
      <c r="F22" t="inlineStr">
        <is>
          <t>Novartis Pharmaceuticals Canada Inc.</t>
        </is>
      </c>
      <c r="G22" t="inlineStr">
        <is>
          <t>pCODR 10194</t>
        </is>
      </c>
      <c r="H22">
        <v>44004</v>
      </c>
      <c r="I22" s="3">
        <v>44026</v>
      </c>
    </row>
    <row r="23">
      <c r="A23" s="2">
        <f>HYPERLINK("https://www.pcpacanada.ca/negotiation/21250", "Kalydeco  (ivacaftor)")</f>
        <v>0</v>
      </c>
      <c r="B23" t="inlineStr">
        <is>
          <t>Vertex Pharmaceuticals (Canada) Incorporated</t>
        </is>
      </c>
      <c r="C23" t="inlineStr">
        <is>
          <t>Active Negotiation</t>
        </is>
      </c>
      <c r="D23" t="inlineStr">
        <is>
          <t>cystic fibrosis in patients with CFTR gating mutations or the R117H gating mutation</t>
        </is>
      </c>
      <c r="E23" t="inlineStr">
        <is>
          <t>21250</t>
        </is>
      </c>
      <c r="F23" t="inlineStr">
        <is>
          <t>Vertex Pharmaceuticals (Canada) Incorporated</t>
        </is>
      </c>
      <c r="G23" t="inlineStr">
        <is>
          <t>Not Applicable</t>
        </is>
      </c>
      <c r="H23">
        <v>43994</v>
      </c>
      <c r="I23" s="3" t="inlineStr">
        <is>
          <t>Not Applicable</t>
        </is>
      </c>
    </row>
    <row r="24">
      <c r="A24" s="2">
        <f>HYPERLINK("https://www.pcpacanada.ca/negotiation/21249", "Orkambi  (lumacaftor/ivacaftor)")</f>
        <v>0</v>
      </c>
      <c r="B24" t="inlineStr">
        <is>
          <t>Vertex Pharmaceuticals (Canada) Incorporated</t>
        </is>
      </c>
      <c r="C24" t="inlineStr">
        <is>
          <t>Active Negotiation</t>
        </is>
      </c>
      <c r="D24" t="inlineStr">
        <is>
          <t>Cystic Fibrosis, F508del CFTR mutation</t>
        </is>
      </c>
      <c r="E24" t="inlineStr">
        <is>
          <t>21249</t>
        </is>
      </c>
      <c r="F24" t="inlineStr">
        <is>
          <t>Vertex Pharmaceuticals (Canada) Incorporated</t>
        </is>
      </c>
      <c r="G24" t="inlineStr">
        <is>
          <t>Not Applicable</t>
        </is>
      </c>
      <c r="H24">
        <v>43994</v>
      </c>
      <c r="I24" s="3" t="inlineStr">
        <is>
          <t>Not Applicable</t>
        </is>
      </c>
    </row>
    <row r="25">
      <c r="A25" s="2">
        <f>HYPERLINK("https://www.pcpacanada.ca/negotiation/21248", "Contrave  (naltrexone hydrochloride and bupropion hydrochloride)")</f>
        <v>0</v>
      </c>
      <c r="B25" t="inlineStr">
        <is>
          <t>Bausch Health, Canada Inc.</t>
        </is>
      </c>
      <c r="C25" t="inlineStr">
        <is>
          <t>Negotiations were not pursued</t>
        </is>
      </c>
      <c r="D25" t="inlineStr">
        <is>
          <t>Chronic weight management</t>
        </is>
      </c>
      <c r="E25" t="inlineStr">
        <is>
          <t>21248</t>
        </is>
      </c>
      <c r="F25" t="inlineStr">
        <is>
          <t>Bausch Health, Canada Inc.</t>
        </is>
      </c>
      <c r="G25" t="inlineStr">
        <is>
          <t>SR0610-000</t>
        </is>
      </c>
      <c r="H25" t="inlineStr">
        <is>
          <t>Not Applicable</t>
        </is>
      </c>
      <c r="I25" s="3">
        <v>44117</v>
      </c>
    </row>
    <row r="26">
      <c r="A26" s="2">
        <f>HYPERLINK("https://www.pcpacanada.ca/negotiation/21244", "Nubeqa  (Darolutamide)")</f>
        <v>0</v>
      </c>
      <c r="B26" t="inlineStr">
        <is>
          <t>Bayer Inc.</t>
        </is>
      </c>
      <c r="C26" t="inlineStr">
        <is>
          <t>Active Negotiation</t>
        </is>
      </c>
      <c r="D26" t="inlineStr">
        <is>
          <t>non-metastatic castrate resistant prostate cancer</t>
        </is>
      </c>
      <c r="E26" t="inlineStr">
        <is>
          <t>21244</t>
        </is>
      </c>
      <c r="F26" t="inlineStr">
        <is>
          <t>Bayer Inc.</t>
        </is>
      </c>
      <c r="G26" t="inlineStr">
        <is>
          <t>pCODR 10196</t>
        </is>
      </c>
      <c r="H26">
        <v>44127</v>
      </c>
      <c r="I26" s="3" t="inlineStr">
        <is>
          <t>Not Applicable</t>
        </is>
      </c>
    </row>
    <row r="27">
      <c r="A27" s="2">
        <f>HYPERLINK("https://www.pcpacanada.ca/negotiation/21241", "Erleada  (apalutamide)")</f>
        <v>0</v>
      </c>
      <c r="B27" t="inlineStr">
        <is>
          <t>Janssen Inc.</t>
        </is>
      </c>
      <c r="C27" t="inlineStr">
        <is>
          <t>Active Negotiation</t>
        </is>
      </c>
      <c r="D27" t="inlineStr">
        <is>
          <t>Metastatic Castration-Sensitive Prostate Cancer</t>
        </is>
      </c>
      <c r="E27" t="inlineStr">
        <is>
          <t>21241</t>
        </is>
      </c>
      <c r="F27" t="inlineStr">
        <is>
          <t>Janssen Inc.</t>
        </is>
      </c>
      <c r="G27" t="inlineStr">
        <is>
          <t>pCODR 10200</t>
        </is>
      </c>
      <c r="H27">
        <v>44113</v>
      </c>
      <c r="I27" s="3" t="inlineStr">
        <is>
          <t>Not Applicable</t>
        </is>
      </c>
    </row>
    <row r="28">
      <c r="A28" s="2">
        <f>HYPERLINK("https://www.pcpacanada.ca/negotiation/21238", "Cabometyx  (cabozantinib)")</f>
        <v>0</v>
      </c>
      <c r="B28" t="inlineStr">
        <is>
          <t>Ipsen Biopharmaceuticals</t>
        </is>
      </c>
      <c r="C28" t="inlineStr">
        <is>
          <t>Under consideration for negotiation</t>
        </is>
      </c>
      <c r="D28" t="inlineStr">
        <is>
          <t>hepatocellular carcinoma</t>
        </is>
      </c>
      <c r="E28" t="inlineStr">
        <is>
          <t>21238</t>
        </is>
      </c>
      <c r="F28" t="inlineStr">
        <is>
          <t>Ipsen Biopharmaceuticals</t>
        </is>
      </c>
      <c r="G28" t="inlineStr">
        <is>
          <t>pCODR 10186</t>
        </is>
      </c>
      <c r="H28" t="inlineStr">
        <is>
          <t>Not Applicable</t>
        </is>
      </c>
      <c r="I28" s="3" t="inlineStr">
        <is>
          <t>Not Applicable</t>
        </is>
      </c>
    </row>
    <row r="29">
      <c r="A29" s="2">
        <f>HYPERLINK("https://www.pcpacanada.ca/negotiation/21235", "Crysvita  (burosumab)")</f>
        <v>0</v>
      </c>
      <c r="B29" t="inlineStr">
        <is>
          <t>Ultragenyx Canada Inc.</t>
        </is>
      </c>
      <c r="C29" t="inlineStr">
        <is>
          <t>Active Negotiation</t>
        </is>
      </c>
      <c r="D29" t="inlineStr">
        <is>
          <t>X-Linked Hypophosphatemia</t>
        </is>
      </c>
      <c r="E29" t="inlineStr">
        <is>
          <t>21235</t>
        </is>
      </c>
      <c r="F29" t="inlineStr">
        <is>
          <t>Ultragenyx Canada Inc.</t>
        </is>
      </c>
      <c r="G29" t="inlineStr">
        <is>
          <t>SR0602-000</t>
        </is>
      </c>
      <c r="H29">
        <v>44113</v>
      </c>
      <c r="I29" s="3" t="inlineStr">
        <is>
          <t>Not Applicable</t>
        </is>
      </c>
    </row>
    <row r="30">
      <c r="A30" s="2">
        <f>HYPERLINK("https://www.pcpacanada.ca/negotiation/21228", "Entyvio (SC)  (vedolizumab)")</f>
        <v>0</v>
      </c>
      <c r="B30" t="inlineStr">
        <is>
          <t>Takeda Canada Inc.</t>
        </is>
      </c>
      <c r="C30" t="inlineStr">
        <is>
          <t>Active Negotiation</t>
        </is>
      </c>
      <c r="D30" t="inlineStr">
        <is>
          <t>Ulcerative Colitis</t>
        </is>
      </c>
      <c r="E30" t="inlineStr">
        <is>
          <t>21228</t>
        </is>
      </c>
      <c r="F30" t="inlineStr">
        <is>
          <t>Takeda Canada Inc.</t>
        </is>
      </c>
      <c r="G30" t="inlineStr">
        <is>
          <t>SR0635-000</t>
        </is>
      </c>
      <c r="H30">
        <v>44123</v>
      </c>
      <c r="I30" s="3" t="inlineStr">
        <is>
          <t>Not Applicable</t>
        </is>
      </c>
    </row>
    <row r="31">
      <c r="A31" s="2">
        <f>HYPERLINK("https://www.pcpacanada.ca/negotiation/21225", "Dupixent  (dupilumab)")</f>
        <v>0</v>
      </c>
      <c r="B31" t="inlineStr">
        <is>
          <t>Sanofi Genzyme</t>
        </is>
      </c>
      <c r="C31" t="inlineStr">
        <is>
          <t>Active Negotiation</t>
        </is>
      </c>
      <c r="D31" t="inlineStr">
        <is>
          <t>Atopic dermatitis</t>
        </is>
      </c>
      <c r="E31" t="inlineStr">
        <is>
          <t>21225</t>
        </is>
      </c>
      <c r="F31" t="inlineStr">
        <is>
          <t>Sanofi Genzyme</t>
        </is>
      </c>
      <c r="G31" t="inlineStr">
        <is>
          <t>SR0636-000</t>
        </is>
      </c>
      <c r="H31">
        <v>44040</v>
      </c>
      <c r="I31" s="3" t="inlineStr">
        <is>
          <t>Not Applicable</t>
        </is>
      </c>
    </row>
    <row r="32">
      <c r="A32" s="2">
        <f>HYPERLINK("https://www.pcpacanada.ca/negotiation/21223", "Beovu  (brolucizumab)")</f>
        <v>0</v>
      </c>
      <c r="B32" t="inlineStr">
        <is>
          <t>Novartis Pharma Canada Inc.</t>
        </is>
      </c>
      <c r="C32" t="inlineStr">
        <is>
          <t>Under consideration for negotiation</t>
        </is>
      </c>
      <c r="D32" t="inlineStr">
        <is>
          <t>Age-Related Macular Degeneration</t>
        </is>
      </c>
      <c r="E32" t="inlineStr">
        <is>
          <t>21223</t>
        </is>
      </c>
      <c r="F32" t="inlineStr">
        <is>
          <t>Novartis Pharma Canada Inc.</t>
        </is>
      </c>
      <c r="G32" t="inlineStr">
        <is>
          <t>SR0632-000</t>
        </is>
      </c>
      <c r="H32" t="inlineStr">
        <is>
          <t>Not Applicable</t>
        </is>
      </c>
      <c r="I32" s="3" t="inlineStr">
        <is>
          <t>Not Applicable</t>
        </is>
      </c>
    </row>
    <row r="33">
      <c r="A33" s="2">
        <f>HYPERLINK("https://www.pcpacanada.ca/negotiation/21220", "Benlysta  (belimumab)")</f>
        <v>0</v>
      </c>
      <c r="B33" t="inlineStr">
        <is>
          <t>GlaxoSmithKline</t>
        </is>
      </c>
      <c r="C33" t="inlineStr">
        <is>
          <t>Under consideration for negotiation</t>
        </is>
      </c>
      <c r="D33" t="inlineStr">
        <is>
          <t>Systemic lupus erythematosus</t>
        </is>
      </c>
      <c r="E33" t="inlineStr">
        <is>
          <t>21220</t>
        </is>
      </c>
      <c r="F33" t="inlineStr">
        <is>
          <t>GlaxoSmithKline</t>
        </is>
      </c>
      <c r="G33" t="inlineStr">
        <is>
          <t>SR0616-000</t>
        </is>
      </c>
      <c r="H33" t="inlineStr">
        <is>
          <t>Not Applicable</t>
        </is>
      </c>
      <c r="I33" s="3" t="inlineStr">
        <is>
          <t>Not Applicable</t>
        </is>
      </c>
    </row>
    <row r="34">
      <c r="A34" s="2">
        <f>HYPERLINK("https://www.pcpacanada.ca/negotiation/21218", "Kisqali (with fulvestrant)  (ribociclib with fulvestrant)")</f>
        <v>0</v>
      </c>
      <c r="B34" t="inlineStr">
        <is>
          <t>Novartis Pharma Canada Inc.</t>
        </is>
      </c>
      <c r="C34" t="inlineStr">
        <is>
          <t>Concluded with an LOI</t>
        </is>
      </c>
      <c r="D34" t="inlineStr">
        <is>
          <t>Advanced or Metastatic Breast Cancer</t>
        </is>
      </c>
      <c r="E34" t="inlineStr">
        <is>
          <t>21218</t>
        </is>
      </c>
      <c r="F34" t="inlineStr">
        <is>
          <t>Novartis Pharma Canada Inc.</t>
        </is>
      </c>
      <c r="G34" t="inlineStr">
        <is>
          <t>pCODR 10195</t>
        </is>
      </c>
      <c r="H34">
        <v>43962</v>
      </c>
      <c r="I34" s="3">
        <v>44026</v>
      </c>
    </row>
    <row r="35">
      <c r="A35" s="2">
        <f>HYPERLINK("https://www.pcpacanada.ca/negotiation/21215", "Allerject   (epinephrine)")</f>
        <v>0</v>
      </c>
      <c r="B35" t="inlineStr">
        <is>
          <t>Kaleo Inc</t>
        </is>
      </c>
      <c r="C35" t="inlineStr">
        <is>
          <t>Concluded with an LOI</t>
        </is>
      </c>
      <c r="D35" t="inlineStr">
        <is>
          <t>For the emergency treatment of severe acute allergic reactions (anaphylaxis).</t>
        </is>
      </c>
      <c r="E35" t="inlineStr">
        <is>
          <t>21215</t>
        </is>
      </c>
      <c r="F35" t="inlineStr">
        <is>
          <t>Kaleo Inc</t>
        </is>
      </c>
      <c r="G35" t="inlineStr">
        <is>
          <t>Not Applicable</t>
        </is>
      </c>
      <c r="H35">
        <v>43973</v>
      </c>
      <c r="I35" s="3">
        <v>44034</v>
      </c>
    </row>
    <row r="36">
      <c r="A36" s="2">
        <f>HYPERLINK("https://www.pcpacanada.ca/negotiation/21207", "Avsola  (infliximab)")</f>
        <v>0</v>
      </c>
      <c r="B36" t="inlineStr">
        <is>
          <t>Amgen Canada Inc.</t>
        </is>
      </c>
      <c r="C36" t="inlineStr">
        <is>
          <t>Concluded with an LOI</t>
        </is>
      </c>
      <c r="D36" t="inlineStr">
        <is>
          <t>Ankylosing spondylitis, plaque psoriasis, psoriatic arthritis, rheumatoid arthritis, Crohn’s disease and Ulcerative Colitis</t>
        </is>
      </c>
      <c r="E36" t="inlineStr">
        <is>
          <t>21207</t>
        </is>
      </c>
      <c r="F36" t="inlineStr">
        <is>
          <t>Amgen Canada Inc.</t>
        </is>
      </c>
      <c r="G36" t="inlineStr">
        <is>
          <t>Not Applicable</t>
        </is>
      </c>
      <c r="H36">
        <v>43966</v>
      </c>
      <c r="I36" s="3">
        <v>44137</v>
      </c>
    </row>
    <row r="37">
      <c r="A37" s="2">
        <f>HYPERLINK("https://www.pcpacanada.ca/negotiation/21205", "Nivestym  (filgrastim)")</f>
        <v>0</v>
      </c>
      <c r="B37" t="inlineStr">
        <is>
          <t>Pfizer Canada ULC</t>
        </is>
      </c>
      <c r="C37" t="inlineStr">
        <is>
          <t>Concluded with an LOI</t>
        </is>
      </c>
      <c r="D37" t="inlineStr">
        <is>
          <t>Prevention or treatment of neutropenia in various indications</t>
        </is>
      </c>
      <c r="E37" t="inlineStr">
        <is>
          <t>21205</t>
        </is>
      </c>
      <c r="F37" t="inlineStr">
        <is>
          <t>Pfizer Canada ULC</t>
        </is>
      </c>
      <c r="G37" t="inlineStr">
        <is>
          <t>Not Applicable</t>
        </is>
      </c>
      <c r="H37">
        <v>43948</v>
      </c>
      <c r="I37" s="3">
        <v>43999</v>
      </c>
    </row>
    <row r="38">
      <c r="A38" s="2">
        <f>HYPERLINK("https://www.pcpacanada.ca/negotiation/21203", "Ziextenzo  (pegfilgrastim)")</f>
        <v>0</v>
      </c>
      <c r="B38" t="inlineStr">
        <is>
          <t>Sandoz Canada</t>
        </is>
      </c>
      <c r="C38" t="inlineStr">
        <is>
          <t>Concluded with an LOI</t>
        </is>
      </c>
      <c r="D38" t="inlineStr">
        <is>
          <t>febrile neutropenia in non-myeloid malignancies</t>
        </is>
      </c>
      <c r="E38" t="inlineStr">
        <is>
          <t>21203</t>
        </is>
      </c>
      <c r="F38" t="inlineStr">
        <is>
          <t>Sandoz Canada</t>
        </is>
      </c>
      <c r="G38" t="inlineStr">
        <is>
          <t>Not Applicable</t>
        </is>
      </c>
      <c r="H38">
        <v>43948</v>
      </c>
      <c r="I38" s="3">
        <v>44034</v>
      </c>
    </row>
    <row r="39">
      <c r="A39" s="2">
        <f>HYPERLINK("https://www.pcpacanada.ca/negotiation/21201", "Redesca  (enoxaparin)")</f>
        <v>0</v>
      </c>
      <c r="B39" t="inlineStr">
        <is>
          <t>Valeo Pharma Inc.</t>
        </is>
      </c>
      <c r="C39" t="inlineStr">
        <is>
          <t>Active Negotiation</t>
        </is>
      </c>
      <c r="D39" t="inlineStr">
        <is>
          <t>Deep-Vein Thrombosis (treatment), without Symptomatic Pulmonary Embolism</t>
        </is>
      </c>
      <c r="E39" t="inlineStr">
        <is>
          <t>21201</t>
        </is>
      </c>
      <c r="F39" t="inlineStr">
        <is>
          <t>Valeo Pharma Inc.</t>
        </is>
      </c>
      <c r="G39" t="inlineStr">
        <is>
          <t>Not Applicable</t>
        </is>
      </c>
      <c r="H39">
        <v>44137</v>
      </c>
      <c r="I39" s="3" t="inlineStr">
        <is>
          <t>Not Applicable</t>
        </is>
      </c>
    </row>
    <row r="40">
      <c r="A40" s="2">
        <f>HYPERLINK("https://www.pcpacanada.ca/negotiation/21197", "Kanjinti  (trastuzumab)")</f>
        <v>0</v>
      </c>
      <c r="B40" t="inlineStr">
        <is>
          <t>Amgen Canada Inc.</t>
        </is>
      </c>
      <c r="C40" t="inlineStr">
        <is>
          <t>Concluded with an LOI</t>
        </is>
      </c>
      <c r="D40" t="inlineStr">
        <is>
          <t>early breast cancer/metastatic breast cancer/metastatic gastric cancer</t>
        </is>
      </c>
      <c r="E40" t="inlineStr">
        <is>
          <t>21197</t>
        </is>
      </c>
      <c r="F40" t="inlineStr">
        <is>
          <t>Amgen Canada Inc.</t>
        </is>
      </c>
      <c r="G40" t="inlineStr">
        <is>
          <t>Not Applicable</t>
        </is>
      </c>
      <c r="H40">
        <v>43914</v>
      </c>
      <c r="I40" s="3">
        <v>43937</v>
      </c>
    </row>
    <row r="41">
      <c r="A41" s="2">
        <f>HYPERLINK("https://www.pcpacanada.ca/negotiation/21196", "Envarsus PA  (tacrolimus)")</f>
        <v>0</v>
      </c>
      <c r="B41" t="inlineStr">
        <is>
          <t>Paladin Labs Inc.</t>
        </is>
      </c>
      <c r="C41" t="inlineStr">
        <is>
          <t>Concluded with an LOI</t>
        </is>
      </c>
      <c r="D41" t="inlineStr">
        <is>
          <t>prophylaxis of organ rejection in allogenic kidney or liver transplant adult patients</t>
        </is>
      </c>
      <c r="E41" t="inlineStr">
        <is>
          <t>21196</t>
        </is>
      </c>
      <c r="F41" t="inlineStr">
        <is>
          <t>Paladin Labs Inc.</t>
        </is>
      </c>
      <c r="G41" t="inlineStr">
        <is>
          <t>Not Applicable</t>
        </is>
      </c>
      <c r="H41">
        <v>43906</v>
      </c>
      <c r="I41" s="3">
        <v>44042</v>
      </c>
    </row>
    <row r="42">
      <c r="A42" s="2">
        <f>HYPERLINK("https://www.pcpacanada.ca/negotiation/21195", "Onstryv  (safinamide)")</f>
        <v>0</v>
      </c>
      <c r="B42" t="inlineStr">
        <is>
          <t>Valeo Pharma Inc.</t>
        </is>
      </c>
      <c r="C42" t="inlineStr">
        <is>
          <t>Under consideration for negotiation</t>
        </is>
      </c>
      <c r="D42" t="inlineStr">
        <is>
          <t>Parkinson's Disease</t>
        </is>
      </c>
      <c r="E42" t="inlineStr">
        <is>
          <t>21195</t>
        </is>
      </c>
      <c r="F42" t="inlineStr">
        <is>
          <t>Valeo Pharma Inc.</t>
        </is>
      </c>
      <c r="G42" t="inlineStr">
        <is>
          <t>SR0617-000</t>
        </is>
      </c>
      <c r="H42" t="inlineStr">
        <is>
          <t>Not Applicable</t>
        </is>
      </c>
      <c r="I42" s="3" t="inlineStr">
        <is>
          <t>Not Applicable</t>
        </is>
      </c>
    </row>
    <row r="43">
      <c r="A43" s="2">
        <f>HYPERLINK("https://www.pcpacanada.ca/negotiation/21194", "Monoferric  (iron (iii) isomaltoside 1000)")</f>
        <v>0</v>
      </c>
      <c r="B43" t="inlineStr">
        <is>
          <t>Pharmacosmos A/S</t>
        </is>
      </c>
      <c r="C43" t="inlineStr">
        <is>
          <t>Active Negotiation</t>
        </is>
      </c>
      <c r="D43" t="inlineStr">
        <is>
          <t>iron deficiency anemia</t>
        </is>
      </c>
      <c r="E43" t="inlineStr">
        <is>
          <t>21194</t>
        </is>
      </c>
      <c r="F43" t="inlineStr">
        <is>
          <t>Pharmacosmos A/S</t>
        </is>
      </c>
      <c r="G43" t="inlineStr">
        <is>
          <t>SR0622-000</t>
        </is>
      </c>
      <c r="H43">
        <v>44033</v>
      </c>
      <c r="I43" s="3" t="inlineStr">
        <is>
          <t>Not Applicable</t>
        </is>
      </c>
    </row>
    <row r="44">
      <c r="A44" s="2">
        <f>HYPERLINK("https://www.pcpacanada.ca/negotiation/21193", "Lokelma  (sodium zirconium cyclosilicate)")</f>
        <v>0</v>
      </c>
      <c r="B44" t="inlineStr">
        <is>
          <t>AstraZeneca Canada Inc.</t>
        </is>
      </c>
      <c r="C44" t="inlineStr">
        <is>
          <t>Negotiations were not pursued</t>
        </is>
      </c>
      <c r="D44" t="inlineStr">
        <is>
          <t>hyperkalemia</t>
        </is>
      </c>
      <c r="E44" t="inlineStr">
        <is>
          <t>21193</t>
        </is>
      </c>
      <c r="F44" t="inlineStr">
        <is>
          <t>AstraZeneca Canada Inc.</t>
        </is>
      </c>
      <c r="G44" t="inlineStr">
        <is>
          <t>SR0612-000</t>
        </is>
      </c>
      <c r="H44" t="inlineStr">
        <is>
          <t>Not Applicable</t>
        </is>
      </c>
      <c r="I44" s="3">
        <v>43937</v>
      </c>
    </row>
    <row r="45">
      <c r="A45" s="2">
        <f>HYPERLINK("https://www.pcpacanada.ca/negotiation/21192", "Taltz  (ixekizumab)")</f>
        <v>0</v>
      </c>
      <c r="B45" t="inlineStr">
        <is>
          <t>Eli Lilly Canada Inc.</t>
        </is>
      </c>
      <c r="C45" t="inlineStr">
        <is>
          <t>Under consideration for negotiation</t>
        </is>
      </c>
      <c r="D45" t="inlineStr">
        <is>
          <t>Ankylosing spondylitis</t>
        </is>
      </c>
      <c r="E45" t="inlineStr">
        <is>
          <t>21192</t>
        </is>
      </c>
      <c r="F45" t="inlineStr">
        <is>
          <t>Eli Lilly Canada Inc.</t>
        </is>
      </c>
      <c r="G45" t="inlineStr">
        <is>
          <t>SR0630-000</t>
        </is>
      </c>
      <c r="H45" t="inlineStr">
        <is>
          <t>Not Applicable</t>
        </is>
      </c>
      <c r="I45" s="3" t="inlineStr">
        <is>
          <t>Not Applicable</t>
        </is>
      </c>
    </row>
    <row r="46">
      <c r="A46" s="2">
        <f>HYPERLINK("https://www.pcpacanada.ca/negotiation/21191", "Vyndaqel  (tafamidis)")</f>
        <v>0</v>
      </c>
      <c r="B46" t="inlineStr">
        <is>
          <t>Pfizer Canada ULC</t>
        </is>
      </c>
      <c r="C46" t="inlineStr">
        <is>
          <t>Active Negotiation</t>
        </is>
      </c>
      <c r="D46" t="inlineStr">
        <is>
          <t>transthyretin-mediated amyloidosis</t>
        </is>
      </c>
      <c r="E46" t="inlineStr">
        <is>
          <t>21191</t>
        </is>
      </c>
      <c r="F46" t="inlineStr">
        <is>
          <t>Pfizer Canada ULC</t>
        </is>
      </c>
      <c r="G46" t="inlineStr">
        <is>
          <t>SR0625-000</t>
        </is>
      </c>
      <c r="H46">
        <v>43992</v>
      </c>
      <c r="I46" s="3" t="inlineStr">
        <is>
          <t>Not Applicable</t>
        </is>
      </c>
    </row>
    <row r="47">
      <c r="A47" s="2">
        <f>HYPERLINK("https://www.pcpacanada.ca/negotiation/21190", "Rinvoq  (upadacitinib)")</f>
        <v>0</v>
      </c>
      <c r="B47" t="inlineStr">
        <is>
          <t>AbbVie Corporation</t>
        </is>
      </c>
      <c r="C47" t="inlineStr">
        <is>
          <t>Under consideration for negotiation</t>
        </is>
      </c>
      <c r="D47" t="inlineStr">
        <is>
          <t>Subacute and chronic inflammatory joint diseases</t>
        </is>
      </c>
      <c r="E47" t="inlineStr">
        <is>
          <t>21190</t>
        </is>
      </c>
      <c r="F47" t="inlineStr">
        <is>
          <t>AbbVie Corporation</t>
        </is>
      </c>
      <c r="G47" t="inlineStr">
        <is>
          <t>SR0614-000</t>
        </is>
      </c>
      <c r="H47" t="inlineStr">
        <is>
          <t>Not Applicable</t>
        </is>
      </c>
      <c r="I47" s="3" t="inlineStr">
        <is>
          <t>Not Applicable</t>
        </is>
      </c>
    </row>
    <row r="48">
      <c r="A48" s="2">
        <f>HYPERLINK("https://www.pcpacanada.ca/negotiation/21189", "Lonsurf  (trifluridine/tipiracil)")</f>
        <v>0</v>
      </c>
      <c r="B48" t="inlineStr">
        <is>
          <t>Taiho Pharma Canada Inc.</t>
        </is>
      </c>
      <c r="C48" t="inlineStr">
        <is>
          <t>Active Negotiation</t>
        </is>
      </c>
      <c r="D48" t="inlineStr">
        <is>
          <t>metastatic Gastric Cancer</t>
        </is>
      </c>
      <c r="E48" t="inlineStr">
        <is>
          <t>21189</t>
        </is>
      </c>
      <c r="F48" t="inlineStr">
        <is>
          <t>Taiho Pharma Canada Inc.</t>
        </is>
      </c>
      <c r="G48" t="inlineStr">
        <is>
          <t>pCODR 10197</t>
        </is>
      </c>
      <c r="H48">
        <v>44019</v>
      </c>
      <c r="I48" s="3" t="inlineStr">
        <is>
          <t>Not Applicable</t>
        </is>
      </c>
    </row>
    <row r="49">
      <c r="A49" s="2">
        <f>HYPERLINK("https://www.pcpacanada.ca/negotiation/21188", "Riximyo  (rituximab)")</f>
        <v>0</v>
      </c>
      <c r="B49" t="inlineStr">
        <is>
          <t>Sandoz Canada</t>
        </is>
      </c>
      <c r="C49" t="inlineStr">
        <is>
          <t>Concluded with an LOI</t>
        </is>
      </c>
      <c r="D49" t="inlineStr">
        <is>
          <t>Rheumatoid arthritis, chronic lymphocytic leukemia, and non-Hodgkin’s lymphoma</t>
        </is>
      </c>
      <c r="E49" t="inlineStr">
        <is>
          <t>21188</t>
        </is>
      </c>
      <c r="F49" t="inlineStr">
        <is>
          <t>Sandoz Canada</t>
        </is>
      </c>
      <c r="G49" t="inlineStr">
        <is>
          <t>Not Applicable</t>
        </is>
      </c>
      <c r="H49">
        <v>43945</v>
      </c>
      <c r="I49" s="3">
        <v>44001</v>
      </c>
    </row>
    <row r="50">
      <c r="A50" s="2">
        <f>HYPERLINK("https://www.pcpacanada.ca/negotiation/21186", "Ruxience  (rituximab)")</f>
        <v>0</v>
      </c>
      <c r="B50" t="inlineStr">
        <is>
          <t>Pfizer Canada ULC</t>
        </is>
      </c>
      <c r="C50" t="inlineStr">
        <is>
          <t>Concluded with an LOI</t>
        </is>
      </c>
      <c r="D50" t="inlineStr">
        <is>
          <t>Non-Hodgkin's Lymphoma (NHL), Chronic Lymphocytic Leukemia (CLL), Rheumatoid Arthritis (RA), Granulomatosis with Polyangitis (GPA), Microscopic Polyangitis (MPA)</t>
        </is>
      </c>
      <c r="E50" t="inlineStr">
        <is>
          <t>21186</t>
        </is>
      </c>
      <c r="F50" t="inlineStr">
        <is>
          <t>Pfizer Canada ULC</t>
        </is>
      </c>
      <c r="G50" t="inlineStr">
        <is>
          <t>Not Applicable</t>
        </is>
      </c>
      <c r="H50">
        <v>43945</v>
      </c>
      <c r="I50" s="3">
        <v>43994</v>
      </c>
    </row>
    <row r="51">
      <c r="A51" s="2">
        <f>HYPERLINK("https://www.pcpacanada.ca/negotiation/21185", "Lutathera  (lutetium 177 dotatate)")</f>
        <v>0</v>
      </c>
      <c r="B51" t="inlineStr">
        <is>
          <t>Advanced Accelerator Applications</t>
        </is>
      </c>
      <c r="C51" t="inlineStr">
        <is>
          <t>Concluded with an LOI</t>
        </is>
      </c>
      <c r="D51" t="inlineStr">
        <is>
          <t>Gastroenteropancreatic neuroendocrine tumors (GEP-NETs)</t>
        </is>
      </c>
      <c r="E51" t="inlineStr">
        <is>
          <t>21185</t>
        </is>
      </c>
      <c r="F51" t="inlineStr">
        <is>
          <t>Advanced Accelerator Applications</t>
        </is>
      </c>
      <c r="G51" t="inlineStr">
        <is>
          <t>Not Applicable</t>
        </is>
      </c>
      <c r="H51">
        <v>43887</v>
      </c>
      <c r="I51" s="3">
        <v>44041</v>
      </c>
    </row>
    <row r="52">
      <c r="A52" s="2">
        <f>HYPERLINK("https://www.pcpacanada.ca/negotiation/21184", "Baqsimi  (glucagon)")</f>
        <v>0</v>
      </c>
      <c r="B52" t="inlineStr">
        <is>
          <t>Eli Lilly Canada Inc.</t>
        </is>
      </c>
      <c r="C52" t="inlineStr">
        <is>
          <t>Under consideration for negotiation</t>
        </is>
      </c>
      <c r="D52" t="inlineStr">
        <is>
          <t>severe hypoglycemia</t>
        </is>
      </c>
      <c r="E52" t="inlineStr">
        <is>
          <t>21184</t>
        </is>
      </c>
      <c r="F52" t="inlineStr">
        <is>
          <t>Eli Lilly Canada Inc.</t>
        </is>
      </c>
      <c r="G52" t="inlineStr">
        <is>
          <t>SR0626-000</t>
        </is>
      </c>
      <c r="H52" t="inlineStr">
        <is>
          <t>Not Applicable</t>
        </is>
      </c>
      <c r="I52" s="3" t="inlineStr">
        <is>
          <t>Not Applicable</t>
        </is>
      </c>
    </row>
    <row r="53">
      <c r="A53" s="2">
        <f>HYPERLINK("https://www.pcpacanada.ca/negotiation/21183", "Admelog  (insulin lispro)")</f>
        <v>0</v>
      </c>
      <c r="B53" t="inlineStr">
        <is>
          <t>Sanofi-aventis Canada Inc.</t>
        </is>
      </c>
      <c r="C53" t="inlineStr">
        <is>
          <t>Concluded with an LOI</t>
        </is>
      </c>
      <c r="D53" t="inlineStr">
        <is>
          <t>Diabetes Mellitus, Type 1 &amp; 2</t>
        </is>
      </c>
      <c r="E53" t="inlineStr">
        <is>
          <t>21183</t>
        </is>
      </c>
      <c r="F53" t="inlineStr">
        <is>
          <t>Sanofi-aventis Canada Inc.</t>
        </is>
      </c>
      <c r="G53" t="inlineStr">
        <is>
          <t>Not Applicable</t>
        </is>
      </c>
      <c r="H53">
        <v>43859</v>
      </c>
      <c r="I53" s="3">
        <v>44104</v>
      </c>
    </row>
    <row r="54">
      <c r="A54" s="2">
        <f>HYPERLINK("https://www.pcpacanada.ca/negotiation/21182", "Lorbrena  (lorlatinib)")</f>
        <v>0</v>
      </c>
      <c r="B54" t="inlineStr">
        <is>
          <t>Pfizer Canada ULC</t>
        </is>
      </c>
      <c r="C54" t="inlineStr">
        <is>
          <t>Negotiations were not pursued</t>
        </is>
      </c>
      <c r="D54" t="inlineStr">
        <is>
          <t>Non-Small Cell Lung Cancer (ALK+)</t>
        </is>
      </c>
      <c r="E54" t="inlineStr">
        <is>
          <t>21182</t>
        </is>
      </c>
      <c r="F54" t="inlineStr">
        <is>
          <t>Pfizer Canada ULC</t>
        </is>
      </c>
      <c r="G54" t="inlineStr">
        <is>
          <t>pCODR 10183</t>
        </is>
      </c>
      <c r="H54" t="inlineStr">
        <is>
          <t>Not Applicable</t>
        </is>
      </c>
      <c r="I54" s="3">
        <v>43942</v>
      </c>
    </row>
    <row r="55">
      <c r="A55" s="2">
        <f>HYPERLINK("https://www.pcpacanada.ca/negotiation/21181", "Rydapt  (midostaurin)")</f>
        <v>0</v>
      </c>
      <c r="B55" t="inlineStr">
        <is>
          <t>Novartis Pharmaceuticals Canada Inc.</t>
        </is>
      </c>
      <c r="C55" t="inlineStr">
        <is>
          <t>Negotiations were not pursued</t>
        </is>
      </c>
      <c r="D55" t="inlineStr">
        <is>
          <t>Systemic Mastocytosis</t>
        </is>
      </c>
      <c r="E55" t="inlineStr">
        <is>
          <t>21181</t>
        </is>
      </c>
      <c r="F55" t="inlineStr">
        <is>
          <t>Novartis Pharmaceuticals Canada Inc.</t>
        </is>
      </c>
      <c r="G55" t="inlineStr">
        <is>
          <t>pCODR 10193</t>
        </is>
      </c>
      <c r="H55" t="inlineStr">
        <is>
          <t>Not Applicable</t>
        </is>
      </c>
      <c r="I55" s="3">
        <v>43976</v>
      </c>
    </row>
    <row r="56">
      <c r="A56" s="2">
        <f>HYPERLINK("https://www.pcpacanada.ca/negotiation/21180", "Mylotarg  (gemtuzumab ozogamicin)")</f>
        <v>0</v>
      </c>
      <c r="B56" t="inlineStr">
        <is>
          <t>Pfizer Canada ULC</t>
        </is>
      </c>
      <c r="C56" t="inlineStr">
        <is>
          <t>Concluded with an LOI</t>
        </is>
      </c>
      <c r="D56" t="inlineStr">
        <is>
          <t>Acute Myeloid Leukemia</t>
        </is>
      </c>
      <c r="E56" t="inlineStr">
        <is>
          <t>21180</t>
        </is>
      </c>
      <c r="F56" t="inlineStr">
        <is>
          <t>Pfizer Canada ULC</t>
        </is>
      </c>
      <c r="G56" t="inlineStr">
        <is>
          <t>pCODR 10190</t>
        </is>
      </c>
      <c r="H56">
        <v>43999</v>
      </c>
      <c r="I56" s="3">
        <v>44055</v>
      </c>
    </row>
    <row r="57">
      <c r="A57" s="2">
        <f>HYPERLINK("https://www.pcpacanada.ca/negotiation/21179", "Keytruda  (pembrolizumab)")</f>
        <v>0</v>
      </c>
      <c r="B57" t="inlineStr">
        <is>
          <t>Merck Canada Inc.</t>
        </is>
      </c>
      <c r="C57" t="inlineStr">
        <is>
          <t>Active Negotiation</t>
        </is>
      </c>
      <c r="D57" t="inlineStr">
        <is>
          <t>renal cell carcinoma</t>
        </is>
      </c>
      <c r="E57" t="inlineStr">
        <is>
          <t>21179</t>
        </is>
      </c>
      <c r="F57" t="inlineStr">
        <is>
          <t>Merck Canada Inc.</t>
        </is>
      </c>
      <c r="G57" t="inlineStr">
        <is>
          <t>pCODR 10185</t>
        </is>
      </c>
      <c r="H57">
        <v>43962</v>
      </c>
      <c r="I57" s="3" t="inlineStr">
        <is>
          <t>Not Applicable</t>
        </is>
      </c>
    </row>
    <row r="58">
      <c r="A58" s="2">
        <f>HYPERLINK("https://www.pcpacanada.ca/negotiation/21178", "Nerlynx  (neratinib)")</f>
        <v>0</v>
      </c>
      <c r="B58" t="inlineStr">
        <is>
          <t>Knight Therapeutics</t>
        </is>
      </c>
      <c r="C58" t="inlineStr">
        <is>
          <t>Negotiations were not pursued</t>
        </is>
      </c>
      <c r="D58" t="inlineStr">
        <is>
          <t>Hormone Receptor-Positive Breast Cancer</t>
        </is>
      </c>
      <c r="E58" t="inlineStr">
        <is>
          <t>21178</t>
        </is>
      </c>
      <c r="F58" t="inlineStr">
        <is>
          <t>Knight Therapeutics</t>
        </is>
      </c>
      <c r="G58" t="inlineStr">
        <is>
          <t>10172</t>
        </is>
      </c>
      <c r="H58">
        <v>43865</v>
      </c>
      <c r="I58" s="3">
        <v>43865</v>
      </c>
    </row>
    <row r="59">
      <c r="A59" s="2">
        <f>HYPERLINK("https://www.pcpacanada.ca/negotiation/21176", "Cimzia  (certolizumab pegol)")</f>
        <v>0</v>
      </c>
      <c r="B59" t="inlineStr">
        <is>
          <t>UCB Canada Inc.</t>
        </is>
      </c>
      <c r="C59" t="inlineStr">
        <is>
          <t>Active Negotiation</t>
        </is>
      </c>
      <c r="D59" t="inlineStr">
        <is>
          <t>Psoriasis, moderate to severe plaque</t>
        </is>
      </c>
      <c r="E59" t="inlineStr">
        <is>
          <t>21176</t>
        </is>
      </c>
      <c r="F59" t="inlineStr">
        <is>
          <t>UCB Canada Inc.</t>
        </is>
      </c>
      <c r="G59" t="inlineStr">
        <is>
          <t>SR0587-000</t>
        </is>
      </c>
      <c r="H59">
        <v>43858</v>
      </c>
      <c r="I59" s="3" t="inlineStr">
        <is>
          <t>Not Applicable</t>
        </is>
      </c>
    </row>
    <row r="60">
      <c r="A60" s="2">
        <f>HYPERLINK("https://www.pcpacanada.ca/negotiation/21175", "Takhzyro  (lanadelumab)")</f>
        <v>0</v>
      </c>
      <c r="B60" t="inlineStr">
        <is>
          <t>Shire Pharma Canada ULC</t>
        </is>
      </c>
      <c r="C60" t="inlineStr">
        <is>
          <t>Concluded with an LOI</t>
        </is>
      </c>
      <c r="D60" t="inlineStr">
        <is>
          <t>Hereditary Angioedema</t>
        </is>
      </c>
      <c r="E60" t="inlineStr">
        <is>
          <t>21175</t>
        </is>
      </c>
      <c r="F60" t="inlineStr">
        <is>
          <t>Shire Pharma Canada ULC</t>
        </is>
      </c>
      <c r="G60" t="inlineStr">
        <is>
          <t>SR0618-000</t>
        </is>
      </c>
      <c r="H60">
        <v>43882</v>
      </c>
      <c r="I60" s="3">
        <v>44134</v>
      </c>
    </row>
    <row r="61">
      <c r="A61" s="2">
        <f>HYPERLINK("https://www.pcpacanada.ca/negotiation/21174", "Revestive  (teduglutide)")</f>
        <v>0</v>
      </c>
      <c r="B61" t="inlineStr">
        <is>
          <t>Shire Pharma Canada ULC</t>
        </is>
      </c>
      <c r="C61" t="inlineStr">
        <is>
          <t>Concluded with an LOI</t>
        </is>
      </c>
      <c r="D61" t="inlineStr">
        <is>
          <t>Short Bowel Syndrome (SBS)</t>
        </is>
      </c>
      <c r="E61" t="inlineStr">
        <is>
          <t>21174</t>
        </is>
      </c>
      <c r="F61" t="inlineStr">
        <is>
          <t>Shire Pharma Canada ULC</t>
        </is>
      </c>
      <c r="G61" t="inlineStr">
        <is>
          <t>SR0606-000</t>
        </is>
      </c>
      <c r="H61">
        <v>43882</v>
      </c>
      <c r="I61" s="3">
        <v>44132</v>
      </c>
    </row>
    <row r="62">
      <c r="A62" s="2">
        <f>HYPERLINK("https://www.pcpacanada.ca/negotiation/21173", "Verkazia  (cyclosporine)")</f>
        <v>0</v>
      </c>
      <c r="B62" t="inlineStr">
        <is>
          <t>Santen Incorporated</t>
        </is>
      </c>
      <c r="C62" t="inlineStr">
        <is>
          <t>Active Negotiation</t>
        </is>
      </c>
      <c r="D62" t="inlineStr">
        <is>
          <t>severe vernal keratoconjunctivitis</t>
        </is>
      </c>
      <c r="E62" t="inlineStr">
        <is>
          <t>21173</t>
        </is>
      </c>
      <c r="F62" t="inlineStr">
        <is>
          <t>Santen Incorporated</t>
        </is>
      </c>
      <c r="G62" t="inlineStr">
        <is>
          <t>SR0615-000</t>
        </is>
      </c>
      <c r="H62">
        <v>43888</v>
      </c>
      <c r="I62" s="3" t="inlineStr">
        <is>
          <t>Not Applicable</t>
        </is>
      </c>
    </row>
    <row r="63">
      <c r="A63" s="2">
        <f>HYPERLINK("https://www.pcpacanada.ca/negotiation/21172", "Lonsurf  (trifluridine/tipiracil)")</f>
        <v>0</v>
      </c>
      <c r="B63" t="inlineStr">
        <is>
          <t>Taiho Pharma Canada Inc.</t>
        </is>
      </c>
      <c r="C63" t="inlineStr">
        <is>
          <t>Negotiations were not pursued</t>
        </is>
      </c>
      <c r="D63" t="inlineStr">
        <is>
          <t>Metastatic Colorectal Cancer</t>
        </is>
      </c>
      <c r="E63" t="inlineStr">
        <is>
          <t>21172</t>
        </is>
      </c>
      <c r="F63" t="inlineStr">
        <is>
          <t>Taiho Pharma Canada Inc.</t>
        </is>
      </c>
      <c r="G63" t="inlineStr">
        <is>
          <t>pCODR 10173</t>
        </is>
      </c>
      <c r="H63">
        <v>43756</v>
      </c>
      <c r="I63" s="3">
        <v>43756</v>
      </c>
    </row>
    <row r="64">
      <c r="A64" s="2">
        <f>HYPERLINK("https://www.pcpacanada.ca/negotiation/21171", "Mezera  (mesalazine)")</f>
        <v>0</v>
      </c>
      <c r="B64" t="inlineStr">
        <is>
          <t>AVIR Pharma Inc.</t>
        </is>
      </c>
      <c r="C64" t="inlineStr">
        <is>
          <t>Concluded with an LOI</t>
        </is>
      </c>
      <c r="D64" t="inlineStr">
        <is>
          <t>Ulcerative Colitis</t>
        </is>
      </c>
      <c r="E64" t="inlineStr">
        <is>
          <t>21171</t>
        </is>
      </c>
      <c r="F64" t="inlineStr">
        <is>
          <t>AVIR Pharma Inc.</t>
        </is>
      </c>
      <c r="G64" t="inlineStr">
        <is>
          <t>Not Applicable</t>
        </is>
      </c>
      <c r="H64">
        <v>43769</v>
      </c>
      <c r="I64" s="3">
        <v>43942</v>
      </c>
    </row>
    <row r="65">
      <c r="A65" s="2">
        <f>HYPERLINK("https://www.pcpacanada.ca/negotiation/21170", "Kadcyla  (trastuzumab emtansine)")</f>
        <v>0</v>
      </c>
      <c r="B65" t="inlineStr">
        <is>
          <t>Hoffmann-La Roche</t>
        </is>
      </c>
      <c r="C65" t="inlineStr">
        <is>
          <t>Active Negotiation</t>
        </is>
      </c>
      <c r="D65" t="inlineStr">
        <is>
          <t>early breast cancer</t>
        </is>
      </c>
      <c r="E65" t="inlineStr">
        <is>
          <t>21170</t>
        </is>
      </c>
      <c r="F65" t="inlineStr">
        <is>
          <t>Hoffmann-La Roche</t>
        </is>
      </c>
      <c r="G65" t="inlineStr">
        <is>
          <t>10182</t>
        </is>
      </c>
      <c r="H65">
        <v>43972</v>
      </c>
      <c r="I65" s="3" t="inlineStr">
        <is>
          <t>Not Applicable</t>
        </is>
      </c>
    </row>
    <row r="66">
      <c r="A66" s="2">
        <f>HYPERLINK("https://www.pcpacanada.ca/negotiation/21169", "Darzalex  (daratumumab)")</f>
        <v>0</v>
      </c>
      <c r="B66" t="inlineStr">
        <is>
          <t>Janssen Inc.</t>
        </is>
      </c>
      <c r="C66" t="inlineStr">
        <is>
          <t>Under consideration for negotiation</t>
        </is>
      </c>
      <c r="D66" t="inlineStr">
        <is>
          <t>Multiple Myeloma</t>
        </is>
      </c>
      <c r="E66" t="inlineStr">
        <is>
          <t>21169</t>
        </is>
      </c>
      <c r="F66" t="inlineStr">
        <is>
          <t>Janssen Inc.</t>
        </is>
      </c>
      <c r="G66" t="inlineStr">
        <is>
          <t>pCODR 10189</t>
        </is>
      </c>
      <c r="H66" t="inlineStr">
        <is>
          <t>Not Applicable</t>
        </is>
      </c>
      <c r="I66" s="3" t="inlineStr">
        <is>
          <t>Not Applicable</t>
        </is>
      </c>
    </row>
    <row r="67">
      <c r="A67" s="2">
        <f>HYPERLINK("https://www.pcpacanada.ca/negotiation/21168", "Keytruda  (pembrolizumab)")</f>
        <v>0</v>
      </c>
      <c r="B67" t="inlineStr">
        <is>
          <t>Merck Canada Inc.</t>
        </is>
      </c>
      <c r="C67" t="inlineStr">
        <is>
          <t>Concluded with an LOI</t>
        </is>
      </c>
      <c r="D67" t="inlineStr">
        <is>
          <t>Squamous Non-Small Cell Lung Cancer</t>
        </is>
      </c>
      <c r="E67" t="inlineStr">
        <is>
          <t>21168</t>
        </is>
      </c>
      <c r="F67" t="inlineStr">
        <is>
          <t>Merck Canada Inc.</t>
        </is>
      </c>
      <c r="G67" t="inlineStr">
        <is>
          <t>10176</t>
        </is>
      </c>
      <c r="H67">
        <v>43852</v>
      </c>
      <c r="I67" s="3">
        <v>43936</v>
      </c>
    </row>
    <row r="68">
      <c r="A68" s="2">
        <f>HYPERLINK("https://www.pcpacanada.ca/negotiation/21167", "Tecentriq  (atezolizumab)")</f>
        <v>0</v>
      </c>
      <c r="B68" t="inlineStr">
        <is>
          <t>Hoffmann-La Roche</t>
        </is>
      </c>
      <c r="C68" t="inlineStr">
        <is>
          <t>Under consideration for negotiation</t>
        </is>
      </c>
      <c r="D68" t="inlineStr">
        <is>
          <t>Small Cell Lung Cancer</t>
        </is>
      </c>
      <c r="E68" t="inlineStr">
        <is>
          <t>21167</t>
        </is>
      </c>
      <c r="F68" t="inlineStr">
        <is>
          <t>Hoffmann-La Roche</t>
        </is>
      </c>
      <c r="G68" t="inlineStr">
        <is>
          <t>10156</t>
        </is>
      </c>
      <c r="H68" t="inlineStr">
        <is>
          <t>Not Applicable</t>
        </is>
      </c>
      <c r="I68" s="3" t="inlineStr">
        <is>
          <t>Not Applicable</t>
        </is>
      </c>
    </row>
    <row r="69">
      <c r="A69" s="2">
        <f>HYPERLINK("https://www.pcpacanada.ca/negotiation/21166", "Lynparza  (olaparib)")</f>
        <v>0</v>
      </c>
      <c r="B69" t="inlineStr">
        <is>
          <t>AstraZeneca Canada Inc.</t>
        </is>
      </c>
      <c r="C69" t="inlineStr">
        <is>
          <t>Concluded with an LOI</t>
        </is>
      </c>
      <c r="D69" t="inlineStr">
        <is>
          <t>Ovarian Cancer</t>
        </is>
      </c>
      <c r="E69" t="inlineStr">
        <is>
          <t>21166</t>
        </is>
      </c>
      <c r="F69" t="inlineStr">
        <is>
          <t>AstraZeneca Canada Inc.</t>
        </is>
      </c>
      <c r="G69" t="inlineStr">
        <is>
          <t>10174</t>
        </is>
      </c>
      <c r="H69">
        <v>44000</v>
      </c>
      <c r="I69" s="3">
        <v>44125</v>
      </c>
    </row>
    <row r="70">
      <c r="A70" s="2">
        <f>HYPERLINK("https://www.pcpacanada.ca/negotiation/21165", "Trintellix  (vortioxetine)")</f>
        <v>0</v>
      </c>
      <c r="B70" t="inlineStr">
        <is>
          <t>Lundbeck Canada Inc.</t>
        </is>
      </c>
      <c r="C70" t="inlineStr">
        <is>
          <t>Active Negotiation</t>
        </is>
      </c>
      <c r="D70" t="inlineStr">
        <is>
          <t>Major Depressive Disorder</t>
        </is>
      </c>
      <c r="E70" t="inlineStr">
        <is>
          <t>21165</t>
        </is>
      </c>
      <c r="F70" t="inlineStr">
        <is>
          <t>Lundbeck Canada Inc.</t>
        </is>
      </c>
      <c r="G70" t="inlineStr">
        <is>
          <t>SR0611-000</t>
        </is>
      </c>
      <c r="H70">
        <v>44018</v>
      </c>
      <c r="I70" s="3" t="inlineStr">
        <is>
          <t>Not Applicable</t>
        </is>
      </c>
    </row>
    <row r="71">
      <c r="A71" s="2">
        <f>HYPERLINK("https://www.pcpacanada.ca/negotiation/21164", "Xultophy  (insulin degludec/liraglutide)")</f>
        <v>0</v>
      </c>
      <c r="B71" t="inlineStr">
        <is>
          <t>Novo Nordisk Canada Inc.</t>
        </is>
      </c>
      <c r="C71" t="inlineStr">
        <is>
          <t>Active Negotiation</t>
        </is>
      </c>
      <c r="D71" t="inlineStr">
        <is>
          <t>Diabetes Mellitus, Type 2</t>
        </is>
      </c>
      <c r="E71" t="inlineStr">
        <is>
          <t>21164</t>
        </is>
      </c>
      <c r="F71" t="inlineStr">
        <is>
          <t>Novo Nordisk Canada Inc.</t>
        </is>
      </c>
      <c r="G71" t="inlineStr">
        <is>
          <t>SR0599-000</t>
        </is>
      </c>
      <c r="H71">
        <v>43861</v>
      </c>
      <c r="I71" s="3" t="inlineStr">
        <is>
          <t>Not Applicable</t>
        </is>
      </c>
    </row>
    <row r="72">
      <c r="A72" s="2">
        <f>HYPERLINK("https://www.pcpacanada.ca/negotiation/21163", "Dovato  (dolutegravir/lamivudine)")</f>
        <v>0</v>
      </c>
      <c r="B72" t="inlineStr">
        <is>
          <t>ViiV Healthcare</t>
        </is>
      </c>
      <c r="C72" t="inlineStr">
        <is>
          <t>Concluded with an LOI</t>
        </is>
      </c>
      <c r="D72" t="inlineStr">
        <is>
          <t>HIV Infection</t>
        </is>
      </c>
      <c r="E72" t="inlineStr">
        <is>
          <t>21163</t>
        </is>
      </c>
      <c r="F72" t="inlineStr">
        <is>
          <t>ViiV Healthcare</t>
        </is>
      </c>
      <c r="G72" t="inlineStr">
        <is>
          <t>SR0601-000</t>
        </is>
      </c>
      <c r="H72">
        <v>43742</v>
      </c>
      <c r="I72" s="3">
        <v>43790</v>
      </c>
    </row>
    <row r="73">
      <c r="A73" s="2">
        <f>HYPERLINK("https://www.pcpacanada.ca/negotiation/21162", "Iluvien  (fluocinolone acetonide)")</f>
        <v>0</v>
      </c>
      <c r="B73" t="inlineStr">
        <is>
          <t>Knight Therapeutics</t>
        </is>
      </c>
      <c r="C73" t="inlineStr">
        <is>
          <t>Negotiations were not pursued</t>
        </is>
      </c>
      <c r="D73" t="inlineStr">
        <is>
          <t>Diabetic Macular Edema</t>
        </is>
      </c>
      <c r="E73" t="inlineStr">
        <is>
          <t>21162</t>
        </is>
      </c>
      <c r="F73" t="inlineStr">
        <is>
          <t>Knight Therapeutics</t>
        </is>
      </c>
      <c r="G73" t="inlineStr">
        <is>
          <t>SR0608-000</t>
        </is>
      </c>
      <c r="H73">
        <v>43770</v>
      </c>
      <c r="I73" s="3">
        <v>43770</v>
      </c>
    </row>
    <row r="74">
      <c r="A74" s="2">
        <f>HYPERLINK("https://www.pcpacanada.ca/negotiation/21161", "Emerade  (epinephrine bitartrate)")</f>
        <v>0</v>
      </c>
      <c r="B74" t="inlineStr">
        <is>
          <t>Bausch Health, Canada Inc.</t>
        </is>
      </c>
      <c r="C74" t="inlineStr">
        <is>
          <t>Concluded with an LOI</t>
        </is>
      </c>
      <c r="D74" t="inlineStr">
        <is>
          <t>For the emergency treatment of severe acute allergic reactions (anaphylaxis).</t>
        </is>
      </c>
      <c r="E74" t="inlineStr">
        <is>
          <t>21161</t>
        </is>
      </c>
      <c r="F74" t="inlineStr">
        <is>
          <t>Bausch Health, Canada Inc.</t>
        </is>
      </c>
      <c r="G74" t="inlineStr">
        <is>
          <t>Not Applicable</t>
        </is>
      </c>
      <c r="H74">
        <v>43707</v>
      </c>
      <c r="I74" s="3">
        <v>43865</v>
      </c>
    </row>
    <row r="75">
      <c r="A75" s="2">
        <f>HYPERLINK("https://www.pcpacanada.ca/negotiation/21160", "Bosulif  (bosutinib)")</f>
        <v>0</v>
      </c>
      <c r="B75" t="inlineStr">
        <is>
          <t>Pfizer Canada ULC</t>
        </is>
      </c>
      <c r="C75" t="inlineStr">
        <is>
          <t>Concluded with an LOI</t>
        </is>
      </c>
      <c r="D75" t="inlineStr">
        <is>
          <t>Chronic Myeloid Leukemia</t>
        </is>
      </c>
      <c r="E75" t="inlineStr">
        <is>
          <t>21160</t>
        </is>
      </c>
      <c r="F75" t="inlineStr">
        <is>
          <t>Pfizer Canada ULC</t>
        </is>
      </c>
      <c r="G75" t="inlineStr">
        <is>
          <t>pCODR RFA 0002</t>
        </is>
      </c>
      <c r="H75">
        <v>43704</v>
      </c>
      <c r="I75" s="3">
        <v>43880</v>
      </c>
    </row>
    <row r="76">
      <c r="A76" s="2">
        <f>HYPERLINK("https://www.pcpacanada.ca/negotiation/21159", "Olumiant  (baricitinib)")</f>
        <v>0</v>
      </c>
      <c r="B76" t="inlineStr">
        <is>
          <t>Eli Lilly Canada Inc.</t>
        </is>
      </c>
      <c r="C76" t="inlineStr">
        <is>
          <t>Active Negotiation</t>
        </is>
      </c>
      <c r="D76" t="inlineStr">
        <is>
          <t>Subacute and chronic inflammatory joint diseases</t>
        </is>
      </c>
      <c r="E76" t="inlineStr">
        <is>
          <t>21159</t>
        </is>
      </c>
      <c r="F76" t="inlineStr">
        <is>
          <t>Eli Lilly Canada Inc.</t>
        </is>
      </c>
      <c r="G76" t="inlineStr">
        <is>
          <t>SR0597-000</t>
        </is>
      </c>
      <c r="H76">
        <v>43728</v>
      </c>
      <c r="I76" s="3" t="inlineStr">
        <is>
          <t>Not Applicable</t>
        </is>
      </c>
    </row>
    <row r="77">
      <c r="A77" s="2">
        <f>HYPERLINK("https://www.pcpacanada.ca/negotiation/21158", "Orfadin Oral Suspension  (nitisinone)")</f>
        <v>0</v>
      </c>
      <c r="B77" t="inlineStr">
        <is>
          <t>Sobi Canada Inc.</t>
        </is>
      </c>
      <c r="C77" t="inlineStr">
        <is>
          <t>Concluded without agreement</t>
        </is>
      </c>
      <c r="D77" t="inlineStr">
        <is>
          <t>Hereditary Tyrosinemia Type 1</t>
        </is>
      </c>
      <c r="E77" t="inlineStr">
        <is>
          <t>21158</t>
        </is>
      </c>
      <c r="F77" t="inlineStr">
        <is>
          <t>Sobi Canada Inc.</t>
        </is>
      </c>
      <c r="G77" t="inlineStr">
        <is>
          <t>Not Applicable</t>
        </is>
      </c>
      <c r="H77">
        <v>43686</v>
      </c>
      <c r="I77" s="3">
        <v>43920</v>
      </c>
    </row>
    <row r="78">
      <c r="A78" s="2">
        <f>HYPERLINK("https://www.pcpacanada.ca/negotiation/21157", "Onpattro  (patisiran)")</f>
        <v>0</v>
      </c>
      <c r="B78" t="inlineStr">
        <is>
          <t>Alnylam Netherlands B.V.</t>
        </is>
      </c>
      <c r="C78" t="inlineStr">
        <is>
          <t>Active Negotiation</t>
        </is>
      </c>
      <c r="D78" t="inlineStr">
        <is>
          <t>hereditary transthyretin-mediated amyloidosis</t>
        </is>
      </c>
      <c r="E78" t="inlineStr">
        <is>
          <t>21157</t>
        </is>
      </c>
      <c r="F78" t="inlineStr">
        <is>
          <t>Alnylam Netherlands B.V.</t>
        </is>
      </c>
      <c r="G78" t="inlineStr">
        <is>
          <t>SR0598-000</t>
        </is>
      </c>
      <c r="H78">
        <v>43784</v>
      </c>
      <c r="I78" s="3" t="inlineStr">
        <is>
          <t>Not Applicable</t>
        </is>
      </c>
    </row>
    <row r="79">
      <c r="A79" s="2">
        <f>HYPERLINK("https://www.pcpacanada.ca/negotiation/21156", "Tegsedi  (inotersen)")</f>
        <v>0</v>
      </c>
      <c r="B79" t="inlineStr">
        <is>
          <t>Akcea Therapeutics Inc.</t>
        </is>
      </c>
      <c r="C79" t="inlineStr">
        <is>
          <t>Concluded with an LOI</t>
        </is>
      </c>
      <c r="D79" t="inlineStr">
        <is>
          <t>hereditary transthyretin-mediated amyloidosis</t>
        </is>
      </c>
      <c r="E79" t="inlineStr">
        <is>
          <t>21156</t>
        </is>
      </c>
      <c r="F79" t="inlineStr">
        <is>
          <t>Akcea Therapeutics Inc.</t>
        </is>
      </c>
      <c r="G79" t="inlineStr">
        <is>
          <t>SR0603-000</t>
        </is>
      </c>
      <c r="H79">
        <v>43798</v>
      </c>
      <c r="I79" s="3">
        <v>43951</v>
      </c>
    </row>
    <row r="80">
      <c r="A80" s="2">
        <f>HYPERLINK("https://www.pcpacanada.ca/negotiation/21155", "Truxima  (rituximab)")</f>
        <v>0</v>
      </c>
      <c r="B80" t="inlineStr">
        <is>
          <t>Teva Canada Limited</t>
        </is>
      </c>
      <c r="C80" t="inlineStr">
        <is>
          <t>Concluded with an LOI</t>
        </is>
      </c>
      <c r="D80" t="inlineStr">
        <is>
          <t>Rheumatoid arthritis, chronic lymphocytic leukemia, and non-Hodgkin’s lymphoma</t>
        </is>
      </c>
      <c r="E80" t="inlineStr">
        <is>
          <t>21155</t>
        </is>
      </c>
      <c r="F80" t="inlineStr">
        <is>
          <t>Teva Canada Limited</t>
        </is>
      </c>
      <c r="G80" t="inlineStr">
        <is>
          <t>Not Applicable</t>
        </is>
      </c>
      <c r="H80">
        <v>43721</v>
      </c>
      <c r="I80" s="3">
        <v>43873</v>
      </c>
    </row>
    <row r="81">
      <c r="A81" s="2">
        <f>HYPERLINK("https://www.pcpacanada.ca/negotiation/21154", "Vitrakvi  (larotrectinib)")</f>
        <v>0</v>
      </c>
      <c r="B81" t="inlineStr">
        <is>
          <t>Bayer Inc.</t>
        </is>
      </c>
      <c r="C81" t="inlineStr">
        <is>
          <t>Negotiations were not pursued</t>
        </is>
      </c>
      <c r="D81" t="inlineStr">
        <is>
          <t>Neurotrophic Tyrosine Receptor Kinase (NTRK) Locally Advanced or Metastatic Solid Tumours</t>
        </is>
      </c>
      <c r="E81" t="inlineStr">
        <is>
          <t>21154</t>
        </is>
      </c>
      <c r="F81" t="inlineStr">
        <is>
          <t>Bayer Inc.</t>
        </is>
      </c>
      <c r="G81" t="inlineStr">
        <is>
          <t>pCODR 10159</t>
        </is>
      </c>
      <c r="H81">
        <v>43829</v>
      </c>
      <c r="I81" s="3">
        <v>43829</v>
      </c>
    </row>
    <row r="82">
      <c r="A82" s="2">
        <f>HYPERLINK("https://www.pcpacanada.ca/negotiation/21153", "Pomalyst  (pomalidomide)")</f>
        <v>0</v>
      </c>
      <c r="B82" t="inlineStr">
        <is>
          <t>Celgene Inc.</t>
        </is>
      </c>
      <c r="C82" t="inlineStr">
        <is>
          <t>Under consideration for negotiation</t>
        </is>
      </c>
      <c r="D82" t="inlineStr">
        <is>
          <t>Multiple Myeloma (Relapsed)</t>
        </is>
      </c>
      <c r="E82" t="inlineStr">
        <is>
          <t>21153</t>
        </is>
      </c>
      <c r="F82" t="inlineStr">
        <is>
          <t>Celgene Inc.</t>
        </is>
      </c>
      <c r="G82" t="inlineStr">
        <is>
          <t>pCODR 10165</t>
        </is>
      </c>
      <c r="H82" t="inlineStr">
        <is>
          <t>Not Applicable</t>
        </is>
      </c>
      <c r="I82" s="3" t="inlineStr">
        <is>
          <t>Not Applicable</t>
        </is>
      </c>
    </row>
    <row r="83">
      <c r="A83" s="2">
        <f>HYPERLINK("https://www.pcpacanada.ca/negotiation/21152", "Idhifa  (enasidenib)")</f>
        <v>0</v>
      </c>
      <c r="B83" t="inlineStr">
        <is>
          <t>Celgene Inc.</t>
        </is>
      </c>
      <c r="C83" t="inlineStr">
        <is>
          <t>Under consideration for negotiation</t>
        </is>
      </c>
      <c r="D83" t="inlineStr">
        <is>
          <t>Acute Myeloid Leukemia</t>
        </is>
      </c>
      <c r="E83" t="inlineStr">
        <is>
          <t>21152</t>
        </is>
      </c>
      <c r="F83" t="inlineStr">
        <is>
          <t>Celgene Inc.</t>
        </is>
      </c>
      <c r="G83" t="inlineStr">
        <is>
          <t>pCODR 10144</t>
        </is>
      </c>
      <c r="H83" t="inlineStr">
        <is>
          <t>Not Applicable</t>
        </is>
      </c>
      <c r="I83" s="3" t="inlineStr">
        <is>
          <t>Not Applicable</t>
        </is>
      </c>
    </row>
    <row r="84">
      <c r="A84" s="2">
        <f>HYPERLINK("https://www.pcpacanada.ca/negotiation/21151", "Revlimid  (lenalidomide)")</f>
        <v>0</v>
      </c>
      <c r="B84" t="inlineStr">
        <is>
          <t>Celgene Inc.</t>
        </is>
      </c>
      <c r="C84" t="inlineStr">
        <is>
          <t>Concluded with an LOI</t>
        </is>
      </c>
      <c r="D84" t="inlineStr">
        <is>
          <t>Multiple Myeloma</t>
        </is>
      </c>
      <c r="E84" t="inlineStr">
        <is>
          <t>21151</t>
        </is>
      </c>
      <c r="F84" t="inlineStr">
        <is>
          <t>Celgene Inc.</t>
        </is>
      </c>
      <c r="G84" t="inlineStr">
        <is>
          <t>pCODR 10141</t>
        </is>
      </c>
      <c r="H84">
        <v>43732</v>
      </c>
      <c r="I84" s="3">
        <v>43992</v>
      </c>
    </row>
    <row r="85">
      <c r="A85" s="2">
        <f>HYPERLINK("https://www.pcpacanada.ca/negotiation/21150", "Sublocade  (buprenorphine)")</f>
        <v>0</v>
      </c>
      <c r="B85" t="inlineStr">
        <is>
          <t>Indivior UK Limited</t>
        </is>
      </c>
      <c r="C85" t="inlineStr">
        <is>
          <t>Concluded with an LOI</t>
        </is>
      </c>
      <c r="D85" t="inlineStr">
        <is>
          <t>Opioid Use Disorder</t>
        </is>
      </c>
      <c r="E85" t="inlineStr">
        <is>
          <t>21150</t>
        </is>
      </c>
      <c r="F85" t="inlineStr">
        <is>
          <t>Indivior UK Limited</t>
        </is>
      </c>
      <c r="G85" t="inlineStr">
        <is>
          <t>SR0579</t>
        </is>
      </c>
      <c r="H85">
        <v>43655</v>
      </c>
      <c r="I85" s="3">
        <v>43929</v>
      </c>
    </row>
    <row r="86">
      <c r="A86" s="2">
        <f>HYPERLINK("https://www.pcpacanada.ca/negotiation/21149", "Cystadrops  (cysteamine)")</f>
        <v>0</v>
      </c>
      <c r="B86" t="inlineStr">
        <is>
          <t>Recordati Canada</t>
        </is>
      </c>
      <c r="C86" t="inlineStr">
        <is>
          <t>Concluded with an LOI</t>
        </is>
      </c>
      <c r="D86" t="inlineStr">
        <is>
          <t>corneal cystine crystal deposits</t>
        </is>
      </c>
      <c r="E86" t="inlineStr">
        <is>
          <t>21149</t>
        </is>
      </c>
      <c r="F86" t="inlineStr">
        <is>
          <t>Recordati Canada</t>
        </is>
      </c>
      <c r="G86" t="inlineStr">
        <is>
          <t>SR0595-000</t>
        </is>
      </c>
      <c r="H86">
        <v>43642</v>
      </c>
      <c r="I86" s="3">
        <v>43699</v>
      </c>
    </row>
    <row r="87">
      <c r="A87" s="2">
        <f>HYPERLINK("https://www.pcpacanada.ca/negotiation/21148", "Libtayo  (cemiplimab)")</f>
        <v>0</v>
      </c>
      <c r="B87" t="inlineStr">
        <is>
          <t>Sanofi Genzyme</t>
        </is>
      </c>
      <c r="C87" t="inlineStr">
        <is>
          <t>Concluded with an LOI</t>
        </is>
      </c>
      <c r="D87" t="inlineStr">
        <is>
          <t>Cutaneous Squamous Cell Carcinoma</t>
        </is>
      </c>
      <c r="E87" t="inlineStr">
        <is>
          <t>21148</t>
        </is>
      </c>
      <c r="F87" t="inlineStr">
        <is>
          <t>Sanofi Genzyme</t>
        </is>
      </c>
      <c r="G87" t="inlineStr">
        <is>
          <t>pCODR 10187</t>
        </is>
      </c>
      <c r="H87">
        <v>43990</v>
      </c>
      <c r="I87" s="3">
        <v>44139</v>
      </c>
    </row>
    <row r="88">
      <c r="A88" s="2">
        <f>HYPERLINK("https://www.pcpacanada.ca/negotiation/21147", "Lenvima  (lenvatinib)")</f>
        <v>0</v>
      </c>
      <c r="B88" t="inlineStr">
        <is>
          <t>Eisai Limited</t>
        </is>
      </c>
      <c r="C88" t="inlineStr">
        <is>
          <t>Concluded with an LOI</t>
        </is>
      </c>
      <c r="D88" t="inlineStr">
        <is>
          <t>hepatocellular carcinoma</t>
        </is>
      </c>
      <c r="E88" t="inlineStr">
        <is>
          <t>21147</t>
        </is>
      </c>
      <c r="F88" t="inlineStr">
        <is>
          <t>Eisai Limited</t>
        </is>
      </c>
      <c r="G88" t="inlineStr">
        <is>
          <t>pCODR 10175</t>
        </is>
      </c>
      <c r="H88">
        <v>43735</v>
      </c>
      <c r="I88" s="3">
        <v>43777</v>
      </c>
    </row>
    <row r="89">
      <c r="A89" s="2">
        <f>HYPERLINK("https://www.pcpacanada.ca/negotiation/21146", "Darzalex  (daratumumab)")</f>
        <v>0</v>
      </c>
      <c r="B89" t="inlineStr">
        <is>
          <t>Janssen Inc.</t>
        </is>
      </c>
      <c r="C89" t="inlineStr">
        <is>
          <t>Active Negotiation</t>
        </is>
      </c>
      <c r="D89" t="inlineStr">
        <is>
          <t>Multiple Myeloma (newly diagnosed)</t>
        </is>
      </c>
      <c r="E89" t="inlineStr">
        <is>
          <t>21146</t>
        </is>
      </c>
      <c r="F89" t="inlineStr">
        <is>
          <t>Janssen Inc.</t>
        </is>
      </c>
      <c r="G89" t="inlineStr">
        <is>
          <t>pCODR 10148</t>
        </is>
      </c>
      <c r="H89">
        <v>43798</v>
      </c>
      <c r="I89" s="3" t="inlineStr">
        <is>
          <t>Not Applicable</t>
        </is>
      </c>
    </row>
    <row r="90">
      <c r="A90" s="2">
        <f>HYPERLINK("https://www.pcpacanada.ca/negotiation/21144", "Lutathera  (lutetium 177 dotatate)")</f>
        <v>0</v>
      </c>
      <c r="B90" t="inlineStr">
        <is>
          <t>Advanced Accelerator Applications</t>
        </is>
      </c>
      <c r="C90" t="inlineStr">
        <is>
          <t>Concluded without agreement</t>
        </is>
      </c>
      <c r="D90" t="inlineStr">
        <is>
          <t>Gastroenteropancreatic neuroendocrine tumors (GEP-NETs)</t>
        </is>
      </c>
      <c r="E90" t="inlineStr">
        <is>
          <t>21144</t>
        </is>
      </c>
      <c r="F90" t="inlineStr">
        <is>
          <t>Advanced Accelerator Applications</t>
        </is>
      </c>
      <c r="G90" t="inlineStr">
        <is>
          <t>pCODR 10142</t>
        </is>
      </c>
      <c r="H90">
        <v>43734</v>
      </c>
      <c r="I90" s="3">
        <v>43829</v>
      </c>
    </row>
    <row r="91">
      <c r="A91" s="2">
        <f>HYPERLINK("https://www.pcpacanada.ca/negotiation/21143", "Alunbrig  (brigatinib)")</f>
        <v>0</v>
      </c>
      <c r="B91" t="inlineStr">
        <is>
          <t>Takeda Canada Inc.</t>
        </is>
      </c>
      <c r="C91" t="inlineStr">
        <is>
          <t>Negotiations were not pursued</t>
        </is>
      </c>
      <c r="D91" t="inlineStr">
        <is>
          <t>Non-Squamous Non-Small Cell Lung Cancer</t>
        </is>
      </c>
      <c r="E91" t="inlineStr">
        <is>
          <t>21143</t>
        </is>
      </c>
      <c r="F91" t="inlineStr">
        <is>
          <t>Takeda Canada Inc.</t>
        </is>
      </c>
      <c r="G91" t="inlineStr">
        <is>
          <t>pCODR 10167</t>
        </is>
      </c>
      <c r="H91" t="inlineStr">
        <is>
          <t>Not Applicable</t>
        </is>
      </c>
      <c r="I91" s="3">
        <v>43713</v>
      </c>
    </row>
    <row r="92">
      <c r="A92" s="2">
        <f>HYPERLINK("https://www.pcpacanada.ca/negotiation/21142", "Ninlaro  (ixazomib)")</f>
        <v>0</v>
      </c>
      <c r="B92" t="inlineStr">
        <is>
          <t>Takeda Canada Inc.</t>
        </is>
      </c>
      <c r="C92" t="inlineStr">
        <is>
          <t>Negotiations were not pursued</t>
        </is>
      </c>
      <c r="D92" t="inlineStr">
        <is>
          <t>Multiple Myeloma</t>
        </is>
      </c>
      <c r="E92" t="inlineStr">
        <is>
          <t>21142</t>
        </is>
      </c>
      <c r="F92" t="inlineStr">
        <is>
          <t>Takeda Canada Inc.</t>
        </is>
      </c>
      <c r="G92" t="inlineStr">
        <is>
          <t>pCODR 10164</t>
        </is>
      </c>
      <c r="H92" t="inlineStr">
        <is>
          <t>Not Applicable</t>
        </is>
      </c>
      <c r="I92" s="3">
        <v>43679</v>
      </c>
    </row>
    <row r="93">
      <c r="A93" s="2">
        <f>HYPERLINK("https://www.pcpacanada.ca/negotiation/21141", "Verzenio  (abemaciclib)")</f>
        <v>0</v>
      </c>
      <c r="B93" t="inlineStr">
        <is>
          <t>Eli Lilly Canada Inc.</t>
        </is>
      </c>
      <c r="C93" t="inlineStr">
        <is>
          <t>Concluded without agreement</t>
        </is>
      </c>
      <c r="D93" t="inlineStr">
        <is>
          <t>Advanced or Metastatic Breast Cancer</t>
        </is>
      </c>
      <c r="E93" t="inlineStr">
        <is>
          <t>21141</t>
        </is>
      </c>
      <c r="F93" t="inlineStr">
        <is>
          <t>Eli Lilly Canada Inc.</t>
        </is>
      </c>
      <c r="G93" t="inlineStr">
        <is>
          <t>pCODR 10161</t>
        </is>
      </c>
      <c r="H93">
        <v>43738</v>
      </c>
      <c r="I93" s="3">
        <v>43930</v>
      </c>
    </row>
    <row r="94">
      <c r="A94" s="2">
        <f>HYPERLINK("https://www.pcpacanada.ca/negotiation/21140", "Vizimpro  (dacomitinib)")</f>
        <v>0</v>
      </c>
      <c r="B94" t="inlineStr">
        <is>
          <t>Pfizer Canada ULC</t>
        </is>
      </c>
      <c r="C94" t="inlineStr">
        <is>
          <t>Concluded without agreement</t>
        </is>
      </c>
      <c r="D94" t="inlineStr">
        <is>
          <t>Non-Squamous Non-Small Cell Lung Cancer</t>
        </is>
      </c>
      <c r="E94" t="inlineStr">
        <is>
          <t>21140</t>
        </is>
      </c>
      <c r="F94" t="inlineStr">
        <is>
          <t>Pfizer Canada ULC</t>
        </is>
      </c>
      <c r="G94" t="inlineStr">
        <is>
          <t>pCODR 10129</t>
        </is>
      </c>
      <c r="H94">
        <v>43690</v>
      </c>
      <c r="I94" s="3">
        <v>43872</v>
      </c>
    </row>
    <row r="95">
      <c r="A95" s="2">
        <f>HYPERLINK("https://www.pcpacanada.ca/negotiation/21139", "Keytruda  (pembrolizumab)")</f>
        <v>0</v>
      </c>
      <c r="B95" t="inlineStr">
        <is>
          <t>Merck Canada Inc.</t>
        </is>
      </c>
      <c r="C95" t="inlineStr">
        <is>
          <t>Negotiations were not pursued</t>
        </is>
      </c>
      <c r="D95" t="inlineStr">
        <is>
          <t>Metastatic Urothelial Carcinoma (first line)</t>
        </is>
      </c>
      <c r="E95" t="inlineStr">
        <is>
          <t>21139</t>
        </is>
      </c>
      <c r="F95" t="inlineStr">
        <is>
          <t>Merck Canada Inc.</t>
        </is>
      </c>
      <c r="G95" t="inlineStr">
        <is>
          <t>pCODR 10177</t>
        </is>
      </c>
      <c r="H95">
        <v>43798</v>
      </c>
      <c r="I95" s="3">
        <v>43798</v>
      </c>
    </row>
    <row r="96">
      <c r="A96" s="2">
        <f>HYPERLINK("https://www.pcpacanada.ca/negotiation/21138", "Keytruda  (pembrolizumab)")</f>
        <v>0</v>
      </c>
      <c r="B96" t="inlineStr">
        <is>
          <t>Merck Canada Inc.</t>
        </is>
      </c>
      <c r="C96" t="inlineStr">
        <is>
          <t>Concluded with an LOI</t>
        </is>
      </c>
      <c r="D96" t="inlineStr">
        <is>
          <t>Melanoma adjuvant therapy</t>
        </is>
      </c>
      <c r="E96" t="inlineStr">
        <is>
          <t>21138</t>
        </is>
      </c>
      <c r="F96" t="inlineStr">
        <is>
          <t>Merck Canada Inc.</t>
        </is>
      </c>
      <c r="G96" t="inlineStr">
        <is>
          <t>pCODR 10168</t>
        </is>
      </c>
      <c r="H96">
        <v>43721</v>
      </c>
      <c r="I96" s="3">
        <v>43936</v>
      </c>
    </row>
    <row r="97">
      <c r="A97" s="2">
        <f>HYPERLINK("https://www.pcpacanada.ca/negotiation/21137", "Keytruda  (pembrolizumab)")</f>
        <v>0</v>
      </c>
      <c r="B97" t="inlineStr">
        <is>
          <t>Merck Canada Inc.</t>
        </is>
      </c>
      <c r="C97" t="inlineStr">
        <is>
          <t>Concluded with an LOI</t>
        </is>
      </c>
      <c r="D97" t="inlineStr">
        <is>
          <t>Non-Squamous Non-Small Cell Lung Cancer</t>
        </is>
      </c>
      <c r="E97" t="inlineStr">
        <is>
          <t>21137</t>
        </is>
      </c>
      <c r="F97" t="inlineStr">
        <is>
          <t>Merck Canada Inc.</t>
        </is>
      </c>
      <c r="G97" t="inlineStr">
        <is>
          <t>pCODR 10153</t>
        </is>
      </c>
      <c r="H97">
        <v>43690</v>
      </c>
      <c r="I97" s="3">
        <v>43936</v>
      </c>
    </row>
    <row r="98">
      <c r="A98" s="2">
        <f>HYPERLINK("https://www.pcpacanada.ca/negotiation/21136", "Venclexta/rituximab  (venetoclax/rituximab)")</f>
        <v>0</v>
      </c>
      <c r="B98" t="inlineStr">
        <is>
          <t>AbbVie Corporation</t>
        </is>
      </c>
      <c r="C98" t="inlineStr">
        <is>
          <t>Concluded with an LOI</t>
        </is>
      </c>
      <c r="D98" t="inlineStr">
        <is>
          <t>Chronic Lymphocytic Leukemia</t>
        </is>
      </c>
      <c r="E98" t="inlineStr">
        <is>
          <t>21136</t>
        </is>
      </c>
      <c r="F98" t="inlineStr">
        <is>
          <t>AbbVie Corporation</t>
        </is>
      </c>
      <c r="G98" t="inlineStr">
        <is>
          <t>pCODR 10162</t>
        </is>
      </c>
      <c r="H98">
        <v>43642</v>
      </c>
      <c r="I98" s="3">
        <v>43766</v>
      </c>
    </row>
    <row r="99">
      <c r="A99" s="2">
        <f>HYPERLINK("https://www.pcpacanada.ca/negotiation/21135", "Xalkori  (crizotinib)")</f>
        <v>0</v>
      </c>
      <c r="B99" t="inlineStr">
        <is>
          <t>Pfizer Canada ULC</t>
        </is>
      </c>
      <c r="C99" t="inlineStr">
        <is>
          <t>Concluded with an LOI</t>
        </is>
      </c>
      <c r="D99" t="inlineStr">
        <is>
          <t>ROS1-positive advanced Non-Small Cell Lung Cancer</t>
        </is>
      </c>
      <c r="E99" t="inlineStr">
        <is>
          <t>21135</t>
        </is>
      </c>
      <c r="F99" t="inlineStr">
        <is>
          <t>Pfizer Canada ULC</t>
        </is>
      </c>
      <c r="G99" t="inlineStr">
        <is>
          <t>pCODR 10151</t>
        </is>
      </c>
      <c r="H99">
        <v>43704</v>
      </c>
      <c r="I99" s="3">
        <v>43910</v>
      </c>
    </row>
    <row r="100">
      <c r="A100" s="2">
        <f>HYPERLINK("https://www.pcpacanada.ca/negotiation/21134", "Ibrance/fulvestrant  (palbociclib/fulvestrant)")</f>
        <v>0</v>
      </c>
      <c r="B100" t="inlineStr">
        <is>
          <t>Pfizer Canada ULC</t>
        </is>
      </c>
      <c r="C100" t="inlineStr">
        <is>
          <t>Concluded with an LOI</t>
        </is>
      </c>
      <c r="D100" t="inlineStr">
        <is>
          <t>Advanced or Metastatic Breast Cancer</t>
        </is>
      </c>
      <c r="E100" t="inlineStr">
        <is>
          <t>21134</t>
        </is>
      </c>
      <c r="F100" t="inlineStr">
        <is>
          <t>Pfizer Canada ULC</t>
        </is>
      </c>
      <c r="G100" t="inlineStr">
        <is>
          <t>pCODR 10150</t>
        </is>
      </c>
      <c r="H100">
        <v>43691</v>
      </c>
      <c r="I100" s="3">
        <v>43929</v>
      </c>
    </row>
    <row r="101">
      <c r="A101" s="2">
        <f>HYPERLINK("https://www.pcpacanada.ca/negotiation/21133", "Imfinzi  (durvalumab)")</f>
        <v>0</v>
      </c>
      <c r="B101" t="inlineStr">
        <is>
          <t>AstraZeneca Canada Inc.</t>
        </is>
      </c>
      <c r="C101" t="inlineStr">
        <is>
          <t>Concluded with an LOI</t>
        </is>
      </c>
      <c r="D101" t="inlineStr">
        <is>
          <t>Non-small Cell Lung Cancer</t>
        </is>
      </c>
      <c r="E101" t="inlineStr">
        <is>
          <t>21133</t>
        </is>
      </c>
      <c r="F101" t="inlineStr">
        <is>
          <t>AstraZeneca Canada Inc.</t>
        </is>
      </c>
      <c r="G101" t="inlineStr">
        <is>
          <t>pCODR 10131</t>
        </is>
      </c>
      <c r="H101">
        <v>43654</v>
      </c>
      <c r="I101" s="3">
        <v>43703</v>
      </c>
    </row>
    <row r="102">
      <c r="A102" s="2">
        <f>HYPERLINK("https://www.pcpacanada.ca/negotiation/21132", "Tafinlar/Mekinist  (dabrafenib/trametinib)")</f>
        <v>0</v>
      </c>
      <c r="B102" t="inlineStr">
        <is>
          <t>Novartis Pharmaceuticals Canada Inc.</t>
        </is>
      </c>
      <c r="C102" t="inlineStr">
        <is>
          <t>Concluded with an LOI</t>
        </is>
      </c>
      <c r="D102" t="inlineStr">
        <is>
          <t>Melanoma adjuvant therapy</t>
        </is>
      </c>
      <c r="E102" t="inlineStr">
        <is>
          <t>21132</t>
        </is>
      </c>
      <c r="F102" t="inlineStr">
        <is>
          <t>Novartis Pharmaceuticals Canada Inc.</t>
        </is>
      </c>
      <c r="G102" t="inlineStr">
        <is>
          <t>pCODR 10152</t>
        </is>
      </c>
      <c r="H102">
        <v>43627</v>
      </c>
      <c r="I102" s="3">
        <v>43707</v>
      </c>
    </row>
    <row r="103">
      <c r="A103" s="2">
        <f>HYPERLINK("https://www.pcpacanada.ca/negotiation/21131", "Trazimera  (trastuzumab)")</f>
        <v>0</v>
      </c>
      <c r="B103" t="inlineStr">
        <is>
          <t>Pfizer Canada ULC</t>
        </is>
      </c>
      <c r="C103" t="inlineStr">
        <is>
          <t>Concluded with an LOI</t>
        </is>
      </c>
      <c r="D103" t="inlineStr">
        <is>
          <t>early breast cancer/metastatic breast cancer/metastatic gastric cancer</t>
        </is>
      </c>
      <c r="E103" t="inlineStr">
        <is>
          <t>21131</t>
        </is>
      </c>
      <c r="F103" t="inlineStr">
        <is>
          <t>Pfizer Canada ULC</t>
        </is>
      </c>
      <c r="G103" t="inlineStr">
        <is>
          <t>Not Applicable</t>
        </is>
      </c>
      <c r="H103">
        <v>43616</v>
      </c>
      <c r="I103" s="3">
        <v>43755</v>
      </c>
    </row>
    <row r="104">
      <c r="A104" s="2">
        <f>HYPERLINK("https://www.pcpacanada.ca/negotiation/21130", "Herzuma  (trastuzumab)")</f>
        <v>0</v>
      </c>
      <c r="B104" t="inlineStr">
        <is>
          <t>Teva Canada Limited</t>
        </is>
      </c>
      <c r="C104" t="inlineStr">
        <is>
          <t>Concluded with an LOI</t>
        </is>
      </c>
      <c r="D104" t="inlineStr">
        <is>
          <t>Metastatic Breast Cancer</t>
        </is>
      </c>
      <c r="E104" t="inlineStr">
        <is>
          <t>21130</t>
        </is>
      </c>
      <c r="F104" t="inlineStr">
        <is>
          <t>Teva Canada Limited</t>
        </is>
      </c>
      <c r="G104" t="inlineStr">
        <is>
          <t>Not Applicable</t>
        </is>
      </c>
      <c r="H104">
        <v>43616</v>
      </c>
      <c r="I104" s="3">
        <v>43782</v>
      </c>
    </row>
    <row r="105">
      <c r="A105" s="2">
        <f>HYPERLINK("https://www.pcpacanada.ca/negotiation/21129", "Ogivri  (trastuzumab)")</f>
        <v>0</v>
      </c>
      <c r="B105" t="inlineStr">
        <is>
          <t>BGP Pharma ULC</t>
        </is>
      </c>
      <c r="C105" t="inlineStr">
        <is>
          <t>Concluded with an LOI</t>
        </is>
      </c>
      <c r="D105" t="inlineStr">
        <is>
          <t>early breast cancer/metastatic breast cancer/metastatic gastric cancer</t>
        </is>
      </c>
      <c r="E105" t="inlineStr">
        <is>
          <t>21129</t>
        </is>
      </c>
      <c r="F105" t="inlineStr">
        <is>
          <t>BGP Pharma ULC</t>
        </is>
      </c>
      <c r="G105" t="inlineStr">
        <is>
          <t>Not Applicable</t>
        </is>
      </c>
      <c r="H105">
        <v>43615</v>
      </c>
      <c r="I105" s="3">
        <v>43741</v>
      </c>
    </row>
    <row r="106">
      <c r="A106" s="2">
        <f>HYPERLINK("https://www.pcpacanada.ca/negotiation/21127", "Opsumit  (macitentan)")</f>
        <v>0</v>
      </c>
      <c r="B106" t="inlineStr">
        <is>
          <t>Actelion Pharmaceuticals Ltd.</t>
        </is>
      </c>
      <c r="C106" t="inlineStr">
        <is>
          <t>Active Negotiation</t>
        </is>
      </c>
      <c r="D106" t="inlineStr">
        <is>
          <t>Pulmonary Arterial Hypertension</t>
        </is>
      </c>
      <c r="E106" t="inlineStr">
        <is>
          <t>21127</t>
        </is>
      </c>
      <c r="F106" t="inlineStr">
        <is>
          <t>Actelion Pharmaceuticals Ltd.</t>
        </is>
      </c>
      <c r="G106" t="inlineStr">
        <is>
          <t>Not Applicable</t>
        </is>
      </c>
      <c r="H106">
        <v>43677</v>
      </c>
      <c r="I106" s="3" t="inlineStr">
        <is>
          <t>Not Applicable</t>
        </is>
      </c>
    </row>
    <row r="107">
      <c r="A107" s="2">
        <f>HYPERLINK("https://www.pcpacanada.ca/negotiation/21126", "Brilinta  (ticagrelor)")</f>
        <v>0</v>
      </c>
      <c r="B107" t="inlineStr">
        <is>
          <t>AstraZeneca Canada Inc.</t>
        </is>
      </c>
      <c r="C107" t="inlineStr">
        <is>
          <t>Concluded with an LOI</t>
        </is>
      </c>
      <c r="D107" t="inlineStr">
        <is>
          <t>secondary prevention of atherothrombotic events</t>
        </is>
      </c>
      <c r="E107" t="inlineStr">
        <is>
          <t>21126</t>
        </is>
      </c>
      <c r="F107" t="inlineStr">
        <is>
          <t>AstraZeneca Canada Inc.</t>
        </is>
      </c>
      <c r="G107" t="inlineStr">
        <is>
          <t>Not Applicable</t>
        </is>
      </c>
      <c r="H107">
        <v>43602</v>
      </c>
      <c r="I107" s="3">
        <v>43635</v>
      </c>
    </row>
    <row r="108">
      <c r="A108" s="2">
        <f>HYPERLINK("https://www.pcpacanada.ca/negotiation/21125", "Triamcinolone Hexacetonide  (triamcinolone hexacetonide)")</f>
        <v>0</v>
      </c>
      <c r="B108" t="inlineStr">
        <is>
          <t>Medexus Inc.</t>
        </is>
      </c>
      <c r="C108" t="inlineStr">
        <is>
          <t>Concluded with an LOI</t>
        </is>
      </c>
      <c r="D108" t="inlineStr">
        <is>
          <t>Subacute and chronic inflammatory joint diseases</t>
        </is>
      </c>
      <c r="E108" t="inlineStr">
        <is>
          <t>21125</t>
        </is>
      </c>
      <c r="F108" t="inlineStr">
        <is>
          <t>Medexus Inc.</t>
        </is>
      </c>
      <c r="G108" t="inlineStr">
        <is>
          <t>Not Applicable</t>
        </is>
      </c>
      <c r="H108">
        <v>43791</v>
      </c>
      <c r="I108" s="3">
        <v>43921</v>
      </c>
    </row>
    <row r="109">
      <c r="A109" s="2">
        <f>HYPERLINK("https://www.pcpacanada.ca/negotiation/21123", "Skyrizi  (risankizumab)")</f>
        <v>0</v>
      </c>
      <c r="B109" t="inlineStr">
        <is>
          <t>AbbVie Corporation</t>
        </is>
      </c>
      <c r="C109" t="inlineStr">
        <is>
          <t>Concluded with an LOI</t>
        </is>
      </c>
      <c r="D109" t="inlineStr">
        <is>
          <t>Plaque psoriasis</t>
        </is>
      </c>
      <c r="E109" t="inlineStr">
        <is>
          <t>21123</t>
        </is>
      </c>
      <c r="F109" t="inlineStr">
        <is>
          <t>AbbVie Corporation</t>
        </is>
      </c>
      <c r="G109" t="inlineStr">
        <is>
          <t>SR0583-000</t>
        </is>
      </c>
      <c r="H109">
        <v>43643</v>
      </c>
      <c r="I109" s="3">
        <v>43797</v>
      </c>
    </row>
    <row r="110">
      <c r="A110" s="2">
        <f>HYPERLINK("https://www.pcpacanada.ca/negotiation/21122", "Vyzulta  (latanoprostene bunod)")</f>
        <v>0</v>
      </c>
      <c r="B110" t="inlineStr">
        <is>
          <t>Bausch Health, Canada Inc.</t>
        </is>
      </c>
      <c r="C110" t="inlineStr">
        <is>
          <t>Concluded with an LOI</t>
        </is>
      </c>
      <c r="D110" t="inlineStr">
        <is>
          <t>Open-angle Glaucoma</t>
        </is>
      </c>
      <c r="E110" t="inlineStr">
        <is>
          <t>21122</t>
        </is>
      </c>
      <c r="F110" t="inlineStr">
        <is>
          <t>Bausch Health, Canada Inc.</t>
        </is>
      </c>
      <c r="G110" t="inlineStr">
        <is>
          <t>SR0590-000</t>
        </is>
      </c>
      <c r="H110">
        <v>43707</v>
      </c>
      <c r="I110" s="3">
        <v>43789</v>
      </c>
    </row>
    <row r="111">
      <c r="A111" s="2">
        <f>HYPERLINK("https://www.pcpacanada.ca/negotiation/21121", "Blincyto  (blinatumomab)")</f>
        <v>0</v>
      </c>
      <c r="B111" t="inlineStr">
        <is>
          <t>Amgen Canada Inc.</t>
        </is>
      </c>
      <c r="C111" t="inlineStr">
        <is>
          <t>Concluded with an LOI</t>
        </is>
      </c>
      <c r="D111" t="inlineStr">
        <is>
          <t>Philadelphia chromosome positive (Ph+) B-cell precursor (BCP) acute lymphoblastic leukemia (ALL)</t>
        </is>
      </c>
      <c r="E111" t="inlineStr">
        <is>
          <t>21121</t>
        </is>
      </c>
      <c r="F111" t="inlineStr">
        <is>
          <t>Amgen Canada Inc.</t>
        </is>
      </c>
      <c r="G111" t="inlineStr">
        <is>
          <t>pCODR 10146</t>
        </is>
      </c>
      <c r="H111">
        <v>43650</v>
      </c>
      <c r="I111" s="3">
        <v>43733</v>
      </c>
    </row>
    <row r="112">
      <c r="A112" s="2">
        <f>HYPERLINK("https://www.pcpacanada.ca/negotiation/21120", "Folotyn  (pralatrexate)")</f>
        <v>0</v>
      </c>
      <c r="B112" t="inlineStr">
        <is>
          <t>Servier Canada Inc.</t>
        </is>
      </c>
      <c r="C112" t="inlineStr">
        <is>
          <t>Concluded with an LOI</t>
        </is>
      </c>
      <c r="D112" t="inlineStr">
        <is>
          <t>Peripheral T-Cell Lymphoma</t>
        </is>
      </c>
      <c r="E112" t="inlineStr">
        <is>
          <t>21120</t>
        </is>
      </c>
      <c r="F112" t="inlineStr">
        <is>
          <t>Servier Canada Inc.</t>
        </is>
      </c>
      <c r="G112" t="inlineStr">
        <is>
          <t>pCODR 10138</t>
        </is>
      </c>
      <c r="H112">
        <v>43622</v>
      </c>
      <c r="I112" s="3">
        <v>43840</v>
      </c>
    </row>
    <row r="113">
      <c r="A113" s="2">
        <f>HYPERLINK("https://www.pcpacanada.ca/negotiation/21119", "Botox  (onabotulinumtoxin a)")</f>
        <v>0</v>
      </c>
      <c r="B113" t="inlineStr">
        <is>
          <t>Allergan Inc.</t>
        </is>
      </c>
      <c r="C113" t="inlineStr">
        <is>
          <t>Active Negotiation</t>
        </is>
      </c>
      <c r="D113" t="inlineStr">
        <is>
          <t>migraine, chronic</t>
        </is>
      </c>
      <c r="E113" t="inlineStr">
        <is>
          <t>21119</t>
        </is>
      </c>
      <c r="F113" t="inlineStr">
        <is>
          <t>Allergan Inc.</t>
        </is>
      </c>
      <c r="G113" t="inlineStr">
        <is>
          <t>SR0584-000</t>
        </is>
      </c>
      <c r="H113">
        <v>43881</v>
      </c>
      <c r="I113" s="3" t="inlineStr">
        <is>
          <t>Not Applicable</t>
        </is>
      </c>
    </row>
    <row r="114">
      <c r="A114" s="2">
        <f>HYPERLINK("https://www.pcpacanada.ca/negotiation/21118", "Xermelo  (telotristat)")</f>
        <v>0</v>
      </c>
      <c r="B114" t="inlineStr">
        <is>
          <t>Ipsen Biopharmaceuticals</t>
        </is>
      </c>
      <c r="C114" t="inlineStr">
        <is>
          <t>Negotiations were not pursued</t>
        </is>
      </c>
      <c r="D114" t="inlineStr">
        <is>
          <t>carcinoid syndorme</t>
        </is>
      </c>
      <c r="E114" t="inlineStr">
        <is>
          <t>21118</t>
        </is>
      </c>
      <c r="F114" t="inlineStr">
        <is>
          <t>Ipsen Biopharmaceuticals</t>
        </is>
      </c>
      <c r="G114" t="inlineStr">
        <is>
          <t>SR0580-000</t>
        </is>
      </c>
      <c r="H114">
        <v>43658</v>
      </c>
      <c r="I114" s="3">
        <v>43658</v>
      </c>
    </row>
    <row r="115">
      <c r="A115" s="2">
        <f>HYPERLINK("https://www.pcpacanada.ca/negotiation/21117", "Jublia  (efinaconazole)")</f>
        <v>0</v>
      </c>
      <c r="B115" t="inlineStr">
        <is>
          <t>Bausch Health, Canada Inc.</t>
        </is>
      </c>
      <c r="C115" t="inlineStr">
        <is>
          <t>Negotiations were not pursued</t>
        </is>
      </c>
      <c r="D115" t="inlineStr">
        <is>
          <t>onychomycosis</t>
        </is>
      </c>
      <c r="E115" t="inlineStr">
        <is>
          <t>21117</t>
        </is>
      </c>
      <c r="F115" t="inlineStr">
        <is>
          <t>Bausch Health, Canada Inc.</t>
        </is>
      </c>
      <c r="G115" t="inlineStr">
        <is>
          <t>SR0577-000</t>
        </is>
      </c>
      <c r="H115">
        <v>43635</v>
      </c>
      <c r="I115" s="3">
        <v>43635</v>
      </c>
    </row>
    <row r="116">
      <c r="A116" s="2">
        <f>HYPERLINK("https://www.pcpacanada.ca/negotiation/21116", "Pifletro  (doravirine)")</f>
        <v>0</v>
      </c>
      <c r="B116" t="inlineStr">
        <is>
          <t>Merck Canada Inc.</t>
        </is>
      </c>
      <c r="C116" t="inlineStr">
        <is>
          <t>Concluded with an LOI</t>
        </is>
      </c>
      <c r="D116" t="inlineStr">
        <is>
          <t>HIV Infection</t>
        </is>
      </c>
      <c r="E116" t="inlineStr">
        <is>
          <t>21116</t>
        </is>
      </c>
      <c r="F116" t="inlineStr">
        <is>
          <t>Merck Canada Inc.</t>
        </is>
      </c>
      <c r="G116" t="inlineStr">
        <is>
          <t>SR0582-000</t>
        </is>
      </c>
      <c r="H116">
        <v>43630</v>
      </c>
      <c r="I116" s="3">
        <v>43753</v>
      </c>
    </row>
    <row r="117">
      <c r="A117" s="2">
        <f>HYPERLINK("https://www.pcpacanada.ca/negotiation/21115", "Delstrigo  (doravirine/lamuvidine/tenofovir disoproxil fumarate)")</f>
        <v>0</v>
      </c>
      <c r="B117" t="inlineStr">
        <is>
          <t>Merck Canada Inc.</t>
        </is>
      </c>
      <c r="C117" t="inlineStr">
        <is>
          <t>Concluded with an LOI</t>
        </is>
      </c>
      <c r="D117" t="inlineStr">
        <is>
          <t>HIV Infection</t>
        </is>
      </c>
      <c r="E117" t="inlineStr">
        <is>
          <t>21115</t>
        </is>
      </c>
      <c r="F117" t="inlineStr">
        <is>
          <t>Merck Canada Inc.</t>
        </is>
      </c>
      <c r="G117" t="inlineStr">
        <is>
          <t>SR0581-000</t>
        </is>
      </c>
      <c r="H117">
        <v>43630</v>
      </c>
      <c r="I117" s="3">
        <v>43753</v>
      </c>
    </row>
    <row r="118">
      <c r="A118" s="2">
        <f>HYPERLINK("https://www.pcpacanada.ca/negotiation/21114", "Cresemba  (isavuconazole)")</f>
        <v>0</v>
      </c>
      <c r="B118" t="inlineStr">
        <is>
          <t>AVIR Pharma Inc.</t>
        </is>
      </c>
      <c r="C118" t="inlineStr">
        <is>
          <t>Concluded with an LOI</t>
        </is>
      </c>
      <c r="D118" t="inlineStr">
        <is>
          <t>Treatment of invasive aspergillosis and mucormycosis</t>
        </is>
      </c>
      <c r="E118" t="inlineStr">
        <is>
          <t>21114</t>
        </is>
      </c>
      <c r="F118" t="inlineStr">
        <is>
          <t>AVIR Pharma Inc.</t>
        </is>
      </c>
      <c r="G118" t="inlineStr">
        <is>
          <t>SR0586-000</t>
        </is>
      </c>
      <c r="H118">
        <v>43661</v>
      </c>
      <c r="I118" s="3">
        <v>43794</v>
      </c>
    </row>
    <row r="119">
      <c r="A119" s="2">
        <f>HYPERLINK("https://www.pcpacanada.ca/negotiation/21113", "Unituxin  (dinutuximab)")</f>
        <v>0</v>
      </c>
      <c r="B119" t="inlineStr">
        <is>
          <t>United Therapeutics</t>
        </is>
      </c>
      <c r="C119" t="inlineStr">
        <is>
          <t>Concluded with an LOI</t>
        </is>
      </c>
      <c r="D119" t="inlineStr">
        <is>
          <t>neuroblastoma</t>
        </is>
      </c>
      <c r="E119" t="inlineStr">
        <is>
          <t>21113</t>
        </is>
      </c>
      <c r="F119" t="inlineStr">
        <is>
          <t>United Therapeutics</t>
        </is>
      </c>
      <c r="G119" t="inlineStr">
        <is>
          <t>pCODR 10154</t>
        </is>
      </c>
      <c r="H119">
        <v>43593</v>
      </c>
      <c r="I119" s="3">
        <v>43707</v>
      </c>
    </row>
    <row r="120">
      <c r="A120" s="2">
        <f>HYPERLINK("https://www.pcpacanada.ca/negotiation/21112", "Xtandi  (enzalutamide)")</f>
        <v>0</v>
      </c>
      <c r="B120" t="inlineStr">
        <is>
          <t>Astellas Pharma Inc.</t>
        </is>
      </c>
      <c r="C120" t="inlineStr">
        <is>
          <t>Concluded with an LOI</t>
        </is>
      </c>
      <c r="D120" t="inlineStr">
        <is>
          <t>non-metastatic castrate resistant prostate cancer</t>
        </is>
      </c>
      <c r="E120" t="inlineStr">
        <is>
          <t>21112</t>
        </is>
      </c>
      <c r="F120" t="inlineStr">
        <is>
          <t>Astellas Pharma Inc.</t>
        </is>
      </c>
      <c r="G120" t="inlineStr">
        <is>
          <t>pCODR 10149</t>
        </is>
      </c>
      <c r="H120">
        <v>43677</v>
      </c>
      <c r="I120" s="3">
        <v>43887</v>
      </c>
    </row>
    <row r="121">
      <c r="A121" s="2">
        <f>HYPERLINK("https://www.pcpacanada.ca/negotiation/21111", "Opdivo  (nivolumab)")</f>
        <v>0</v>
      </c>
      <c r="B121" t="inlineStr">
        <is>
          <t>Bristol Myers Squibb Canada Inc.</t>
        </is>
      </c>
      <c r="C121" t="inlineStr">
        <is>
          <t>Concluded with an LOI</t>
        </is>
      </c>
      <c r="D121" t="inlineStr">
        <is>
          <t>Melanoma adjuvant therapy</t>
        </is>
      </c>
      <c r="E121" t="inlineStr">
        <is>
          <t>21111</t>
        </is>
      </c>
      <c r="F121" t="inlineStr">
        <is>
          <t>Bristol Myers Squibb Canada Inc.</t>
        </is>
      </c>
      <c r="G121" t="inlineStr">
        <is>
          <t>pCODR 10147</t>
        </is>
      </c>
      <c r="H121">
        <v>43642</v>
      </c>
      <c r="I121" s="3">
        <v>43714</v>
      </c>
    </row>
    <row r="122">
      <c r="A122" s="2">
        <f>HYPERLINK("https://www.pcpacanada.ca/negotiation/21110", "Adcetris  (brentuximab vedotin)")</f>
        <v>0</v>
      </c>
      <c r="B122" t="inlineStr">
        <is>
          <t>Seattle Genetics Inc.</t>
        </is>
      </c>
      <c r="C122" t="inlineStr">
        <is>
          <t>Negotiations were not pursued</t>
        </is>
      </c>
      <c r="D122" t="inlineStr">
        <is>
          <t>Hodgkin's Lymphoma</t>
        </is>
      </c>
      <c r="E122" t="inlineStr">
        <is>
          <t>21110</t>
        </is>
      </c>
      <c r="F122" t="inlineStr">
        <is>
          <t>Seattle Genetics Inc.</t>
        </is>
      </c>
      <c r="G122" t="inlineStr">
        <is>
          <t>pCODR 10145</t>
        </is>
      </c>
      <c r="H122" t="inlineStr">
        <is>
          <t>Not Applicable</t>
        </is>
      </c>
      <c r="I122" s="3">
        <v>43602</v>
      </c>
    </row>
    <row r="123">
      <c r="A123" s="2">
        <f>HYPERLINK("https://www.pcpacanada.ca/negotiation/21109", "Radicava  (edaravone)")</f>
        <v>0</v>
      </c>
      <c r="B123" t="inlineStr">
        <is>
          <t>Mitsubishi Tanabe Pharma Corporation</t>
        </is>
      </c>
      <c r="C123" t="inlineStr">
        <is>
          <t>Concluded with an LOI</t>
        </is>
      </c>
      <c r="D123" t="inlineStr">
        <is>
          <t>amyotrophic lateral sclerosis</t>
        </is>
      </c>
      <c r="E123" t="inlineStr">
        <is>
          <t>21109</t>
        </is>
      </c>
      <c r="F123" t="inlineStr">
        <is>
          <t>Mitsubishi Tanabe Pharma Corporation</t>
        </is>
      </c>
      <c r="G123" t="inlineStr">
        <is>
          <t>SR0573-000</t>
        </is>
      </c>
      <c r="H123">
        <v>43732</v>
      </c>
      <c r="I123" s="3">
        <v>43936</v>
      </c>
    </row>
    <row r="124">
      <c r="A124" s="2">
        <f>HYPERLINK("https://www.pcpacanada.ca/negotiation/21108", "Eucrisa  (crisaborole)")</f>
        <v>0</v>
      </c>
      <c r="B124" t="inlineStr">
        <is>
          <t>Pfizer Canada ULC</t>
        </is>
      </c>
      <c r="C124" t="inlineStr">
        <is>
          <t>Negotiations were not pursued</t>
        </is>
      </c>
      <c r="D124" t="inlineStr">
        <is>
          <t>Atopic dermatitis</t>
        </is>
      </c>
      <c r="E124" t="inlineStr">
        <is>
          <t>21108</t>
        </is>
      </c>
      <c r="F124" t="inlineStr">
        <is>
          <t>Pfizer Canada ULC</t>
        </is>
      </c>
      <c r="G124" t="inlineStr">
        <is>
          <t>SR0570-000</t>
        </is>
      </c>
      <c r="H124">
        <v>43571</v>
      </c>
      <c r="I124" s="3">
        <v>43571</v>
      </c>
    </row>
    <row r="125">
      <c r="A125" s="2">
        <f>HYPERLINK("https://www.pcpacanada.ca/negotiation/21107", "Brineura  (cerliponase alfa)")</f>
        <v>0</v>
      </c>
      <c r="B125" t="inlineStr">
        <is>
          <t>BioMarin Pharmaceutical Inc.</t>
        </is>
      </c>
      <c r="C125" t="inlineStr">
        <is>
          <t>Concluded with an LOI</t>
        </is>
      </c>
      <c r="D125" t="inlineStr">
        <is>
          <t>neuronal ceroid lipofuscinosis type 2</t>
        </is>
      </c>
      <c r="E125" t="inlineStr">
        <is>
          <t>21107</t>
        </is>
      </c>
      <c r="F125" t="inlineStr">
        <is>
          <t>BioMarin Pharmaceutical Inc.</t>
        </is>
      </c>
      <c r="G125" t="inlineStr">
        <is>
          <t>SR0574-000</t>
        </is>
      </c>
      <c r="H125">
        <v>43553</v>
      </c>
      <c r="I125" s="3">
        <v>43852</v>
      </c>
    </row>
    <row r="126">
      <c r="A126" s="2">
        <f>HYPERLINK("https://www.pcpacanada.ca/negotiation/21106", "Kalydeco  (ivacaftor)")</f>
        <v>0</v>
      </c>
      <c r="B126" t="inlineStr">
        <is>
          <t>Vertex Pharmaceuticals (Canada) Incorporated</t>
        </is>
      </c>
      <c r="C126" t="inlineStr">
        <is>
          <t>Concluded with an LOI</t>
        </is>
      </c>
      <c r="D126" t="inlineStr">
        <is>
          <t>cystic fibrosis in patients with CFTR gating mutations or the R117H gating mutation</t>
        </is>
      </c>
      <c r="E126" t="inlineStr">
        <is>
          <t>21106</t>
        </is>
      </c>
      <c r="F126" t="inlineStr">
        <is>
          <t>Vertex Pharmaceuticals (Canada) Incorporated</t>
        </is>
      </c>
      <c r="G126" t="inlineStr">
        <is>
          <t>Not Applicable</t>
        </is>
      </c>
      <c r="H126">
        <v>43553</v>
      </c>
      <c r="I126" s="3">
        <v>43663</v>
      </c>
    </row>
    <row r="127">
      <c r="A127" s="2">
        <f>HYPERLINK("https://www.pcpacanada.ca/negotiation/21105", "Zirabev  (bevacizumab)")</f>
        <v>0</v>
      </c>
      <c r="B127" t="inlineStr">
        <is>
          <t>Pfizer Canada ULC</t>
        </is>
      </c>
      <c r="C127" t="inlineStr">
        <is>
          <t>Concluded with an LOI</t>
        </is>
      </c>
      <c r="D127" t="inlineStr">
        <is>
          <t>Metastatic Colorectal Cancer / Non-Small Cell Lung Cancer</t>
        </is>
      </c>
      <c r="E127" t="inlineStr">
        <is>
          <t>21105</t>
        </is>
      </c>
      <c r="F127" t="inlineStr">
        <is>
          <t>Pfizer Canada ULC</t>
        </is>
      </c>
      <c r="G127" t="inlineStr">
        <is>
          <t>Not Applicable</t>
        </is>
      </c>
      <c r="H127">
        <v>43536</v>
      </c>
      <c r="I127" s="3">
        <v>43705</v>
      </c>
    </row>
    <row r="128">
      <c r="A128" s="2">
        <f>HYPERLINK("https://www.pcpacanada.ca/negotiation/21104", "Spinraza  (nusinersen)")</f>
        <v>0</v>
      </c>
      <c r="B128" t="inlineStr">
        <is>
          <t>Biogen Canada Inc.</t>
        </is>
      </c>
      <c r="C128" t="inlineStr">
        <is>
          <t>Concluded with an LOI</t>
        </is>
      </c>
      <c r="D128" t="inlineStr">
        <is>
          <t>Spinal Muscular Atrophy</t>
        </is>
      </c>
      <c r="E128" t="inlineStr">
        <is>
          <t>21104</t>
        </is>
      </c>
      <c r="F128" t="inlineStr">
        <is>
          <t>Biogen Canada Inc.</t>
        </is>
      </c>
      <c r="G128" t="inlineStr">
        <is>
          <t>SR0576-000</t>
        </is>
      </c>
      <c r="H128">
        <v>43580</v>
      </c>
      <c r="I128" s="3">
        <v>43642</v>
      </c>
    </row>
    <row r="129">
      <c r="A129" s="2">
        <f>HYPERLINK("https://www.pcpacanada.ca/negotiation/21103", "Xeljanz  (tofacitinib)")</f>
        <v>0</v>
      </c>
      <c r="B129" t="inlineStr">
        <is>
          <t>Pfizer Canada ULC</t>
        </is>
      </c>
      <c r="C129" t="inlineStr">
        <is>
          <t>Concluded with an LOI</t>
        </is>
      </c>
      <c r="D129" t="inlineStr">
        <is>
          <t>Ulcerative Colitis</t>
        </is>
      </c>
      <c r="E129" t="inlineStr">
        <is>
          <t>21103</t>
        </is>
      </c>
      <c r="F129" t="inlineStr">
        <is>
          <t>Pfizer Canada ULC</t>
        </is>
      </c>
      <c r="G129" t="inlineStr">
        <is>
          <t>SR0572-000</t>
        </is>
      </c>
      <c r="H129">
        <v>43651</v>
      </c>
      <c r="I129" s="3">
        <v>44036</v>
      </c>
    </row>
    <row r="130">
      <c r="A130" s="2">
        <f>HYPERLINK("https://www.pcpacanada.ca/negotiation/21102", "Cabometyx  (cabozantinib)")</f>
        <v>0</v>
      </c>
      <c r="B130" t="inlineStr">
        <is>
          <t>Ipsen Biopharmaceuticals</t>
        </is>
      </c>
      <c r="C130" t="inlineStr">
        <is>
          <t>Concluded with an LOI</t>
        </is>
      </c>
      <c r="D130" t="inlineStr">
        <is>
          <t>renal cell carcinoma</t>
        </is>
      </c>
      <c r="E130" t="inlineStr">
        <is>
          <t>21102</t>
        </is>
      </c>
      <c r="F130" t="inlineStr">
        <is>
          <t>Ipsen Biopharmaceuticals</t>
        </is>
      </c>
      <c r="G130" t="inlineStr">
        <is>
          <t>pCODR 10163</t>
        </is>
      </c>
      <c r="H130">
        <v>43623</v>
      </c>
      <c r="I130" s="3">
        <v>43774</v>
      </c>
    </row>
    <row r="131">
      <c r="A131" s="2">
        <f>HYPERLINK("https://www.pcpacanada.ca/negotiation/21101", "Mvasi  (bevacizumab)")</f>
        <v>0</v>
      </c>
      <c r="B131" t="inlineStr">
        <is>
          <t>Amgen Canada Inc.</t>
        </is>
      </c>
      <c r="C131" t="inlineStr">
        <is>
          <t>Concluded with an LOI</t>
        </is>
      </c>
      <c r="D131" t="inlineStr">
        <is>
          <t>Metastatic Colorectal Cancer / Non-Small Cell Lung Cancer</t>
        </is>
      </c>
      <c r="E131" t="inlineStr">
        <is>
          <t>21101</t>
        </is>
      </c>
      <c r="F131" t="inlineStr">
        <is>
          <t>Amgen Canada Inc.</t>
        </is>
      </c>
      <c r="G131" t="inlineStr">
        <is>
          <t>pCODR 10158</t>
        </is>
      </c>
      <c r="H131">
        <v>43524</v>
      </c>
      <c r="I131" s="3">
        <v>43654</v>
      </c>
    </row>
    <row r="132">
      <c r="A132" s="2">
        <f>HYPERLINK("https://www.pcpacanada.ca/negotiation/21100", "Ella  (ulipristal acetate)")</f>
        <v>0</v>
      </c>
      <c r="B132" t="inlineStr">
        <is>
          <t>Allergan Inc.</t>
        </is>
      </c>
      <c r="C132" t="inlineStr">
        <is>
          <t>Concluded with an LOI</t>
        </is>
      </c>
      <c r="D132" t="inlineStr">
        <is>
          <t>prevention of pregnancy</t>
        </is>
      </c>
      <c r="E132" t="inlineStr">
        <is>
          <t>21100</t>
        </is>
      </c>
      <c r="F132" t="inlineStr">
        <is>
          <t>Allergan Inc.</t>
        </is>
      </c>
      <c r="G132" t="inlineStr">
        <is>
          <t>Not Applicable</t>
        </is>
      </c>
      <c r="H132">
        <v>43518</v>
      </c>
      <c r="I132" s="3">
        <v>43637</v>
      </c>
    </row>
    <row r="133">
      <c r="A133" s="2">
        <f>HYPERLINK("https://www.pcpacanada.ca/negotiation/21099", "Segluromet  (ertugliflozin/metformin hydrochloride)")</f>
        <v>0</v>
      </c>
      <c r="B133" t="inlineStr">
        <is>
          <t>Merck Canada Inc.</t>
        </is>
      </c>
      <c r="C133" t="inlineStr">
        <is>
          <t>Concluded without agreement</t>
        </is>
      </c>
      <c r="D133" t="inlineStr">
        <is>
          <t>Diabetes Mellitus, Type 2</t>
        </is>
      </c>
      <c r="E133" t="inlineStr">
        <is>
          <t>21099</t>
        </is>
      </c>
      <c r="F133" t="inlineStr">
        <is>
          <t>Merck Canada Inc.</t>
        </is>
      </c>
      <c r="G133" t="inlineStr">
        <is>
          <t>SR0566-000</t>
        </is>
      </c>
      <c r="H133">
        <v>43544</v>
      </c>
      <c r="I133" s="3">
        <v>43921</v>
      </c>
    </row>
    <row r="134">
      <c r="A134" s="2">
        <f>HYPERLINK("https://www.pcpacanada.ca/negotiation/21098", "Steglatro  (ertugliflozin)")</f>
        <v>0</v>
      </c>
      <c r="B134" t="inlineStr">
        <is>
          <t>Merck Canada Inc.</t>
        </is>
      </c>
      <c r="C134" t="inlineStr">
        <is>
          <t>Concluded without agreement</t>
        </is>
      </c>
      <c r="D134" t="inlineStr">
        <is>
          <t>Diabetes Mellitus, Type 2</t>
        </is>
      </c>
      <c r="E134" t="inlineStr">
        <is>
          <t>21098</t>
        </is>
      </c>
      <c r="F134" t="inlineStr">
        <is>
          <t>Merck Canada Inc.</t>
        </is>
      </c>
      <c r="G134" t="inlineStr">
        <is>
          <t>SR0565-000</t>
        </is>
      </c>
      <c r="H134">
        <v>43544</v>
      </c>
      <c r="I134" s="3">
        <v>43921</v>
      </c>
    </row>
    <row r="135">
      <c r="A135" s="2">
        <f>HYPERLINK("https://www.pcpacanada.ca/negotiation/21097", "Fulphila  (pegfilgastrim)")</f>
        <v>0</v>
      </c>
      <c r="B135" t="inlineStr">
        <is>
          <t>BGP Pharma ULC</t>
        </is>
      </c>
      <c r="C135" t="inlineStr">
        <is>
          <t>Concluded with an LOI</t>
        </is>
      </c>
      <c r="D135" t="inlineStr">
        <is>
          <t>febrile neutropenia in non-myeloid malignancies</t>
        </is>
      </c>
      <c r="E135" t="inlineStr">
        <is>
          <t>21097</t>
        </is>
      </c>
      <c r="F135" t="inlineStr">
        <is>
          <t>BGP Pharma ULC</t>
        </is>
      </c>
      <c r="G135" t="inlineStr">
        <is>
          <t>SE0588-000</t>
        </is>
      </c>
      <c r="H135">
        <v>43524</v>
      </c>
      <c r="I135" s="3">
        <v>43731</v>
      </c>
    </row>
    <row r="136">
      <c r="A136" s="2">
        <f>HYPERLINK("https://www.pcpacanada.ca/negotiation/21096", "Xeljanz XR  (tofacitinib)")</f>
        <v>0</v>
      </c>
      <c r="B136" t="inlineStr">
        <is>
          <t>Pfizer Canada ULC</t>
        </is>
      </c>
      <c r="C136" t="inlineStr">
        <is>
          <t>Concluded with an LOI</t>
        </is>
      </c>
      <c r="D136" t="inlineStr">
        <is>
          <t>Subacute and chronic inflammatory joint diseases</t>
        </is>
      </c>
      <c r="E136" t="inlineStr">
        <is>
          <t>21096</t>
        </is>
      </c>
      <c r="F136" t="inlineStr">
        <is>
          <t>Pfizer Canada ULC</t>
        </is>
      </c>
      <c r="G136" t="inlineStr">
        <is>
          <t>Not Applicable</t>
        </is>
      </c>
      <c r="H136">
        <v>43495</v>
      </c>
      <c r="I136" s="3">
        <v>43655</v>
      </c>
    </row>
    <row r="137">
      <c r="A137" s="2">
        <f>HYPERLINK("https://www.pcpacanada.ca/negotiation/21095", "Humira (citrate-free)  (adalimumab citrate-free)")</f>
        <v>0</v>
      </c>
      <c r="B137" t="inlineStr">
        <is>
          <t>AbbVie Corporation</t>
        </is>
      </c>
      <c r="C137" t="inlineStr">
        <is>
          <t>Concluded without agreement</t>
        </is>
      </c>
      <c r="D137" t="inlineStr">
        <is>
          <t>Multiple Indications</t>
        </is>
      </c>
      <c r="E137" t="inlineStr">
        <is>
          <t>21095</t>
        </is>
      </c>
      <c r="F137" t="inlineStr">
        <is>
          <t>AbbVie Corporation</t>
        </is>
      </c>
      <c r="G137" t="inlineStr">
        <is>
          <t>Not Applicable</t>
        </is>
      </c>
      <c r="H137">
        <v>43495</v>
      </c>
      <c r="I137" s="3">
        <v>43937</v>
      </c>
    </row>
    <row r="138">
      <c r="A138" s="2">
        <f>HYPERLINK("https://www.pcpacanada.ca/negotiation/21094", "Ozempic  (semaglutide)")</f>
        <v>0</v>
      </c>
      <c r="B138" t="inlineStr">
        <is>
          <t>Novo Nordisk Canada Inc.</t>
        </is>
      </c>
      <c r="C138" t="inlineStr">
        <is>
          <t>Concluded with an LOI</t>
        </is>
      </c>
      <c r="D138" t="inlineStr">
        <is>
          <t>Diabetes Mellitus, Type 2</t>
        </is>
      </c>
      <c r="E138" t="inlineStr">
        <is>
          <t>21094</t>
        </is>
      </c>
      <c r="F138" t="inlineStr">
        <is>
          <t>Novo Nordisk Canada Inc.</t>
        </is>
      </c>
      <c r="G138" t="inlineStr">
        <is>
          <t>SR0594-000</t>
        </is>
      </c>
      <c r="H138">
        <v>43496</v>
      </c>
      <c r="I138" s="3">
        <v>43672</v>
      </c>
    </row>
    <row r="139">
      <c r="A139" s="2">
        <f>HYPERLINK("https://www.pcpacanada.ca/negotiation/21093", "Herceptin SC  (trastuzumab)")</f>
        <v>0</v>
      </c>
      <c r="B139" t="inlineStr">
        <is>
          <t>Hoffmann-La Roche</t>
        </is>
      </c>
      <c r="C139" t="inlineStr">
        <is>
          <t>Concluded without agreement</t>
        </is>
      </c>
      <c r="D139" t="inlineStr">
        <is>
          <t>breast cancer</t>
        </is>
      </c>
      <c r="E139" t="inlineStr">
        <is>
          <t>21093</t>
        </is>
      </c>
      <c r="F139" t="inlineStr">
        <is>
          <t>Hoffmann-La Roche</t>
        </is>
      </c>
      <c r="G139" t="inlineStr">
        <is>
          <t>Not Applicable</t>
        </is>
      </c>
      <c r="H139">
        <v>43496</v>
      </c>
      <c r="I139" s="3">
        <v>43767</v>
      </c>
    </row>
    <row r="140">
      <c r="A140" s="2">
        <f>HYPERLINK("https://www.pcpacanada.ca/negotiation/21092", "Tagrisso  (osimertinib)")</f>
        <v>0</v>
      </c>
      <c r="B140" t="inlineStr">
        <is>
          <t>AstraZeneca Canada Inc.</t>
        </is>
      </c>
      <c r="C140" t="inlineStr">
        <is>
          <t>Concluded with an LOI</t>
        </is>
      </c>
      <c r="D140" t="inlineStr">
        <is>
          <t>first-line treatment of locally advanced or metastatic non-small cell cell lung cancer (NSCLC)</t>
        </is>
      </c>
      <c r="E140" t="inlineStr">
        <is>
          <t>21092</t>
        </is>
      </c>
      <c r="F140" t="inlineStr">
        <is>
          <t>AstraZeneca Canada Inc.</t>
        </is>
      </c>
      <c r="G140" t="inlineStr">
        <is>
          <t>pCODR 10137</t>
        </is>
      </c>
      <c r="H140">
        <v>43538</v>
      </c>
      <c r="I140" s="3">
        <v>43788</v>
      </c>
    </row>
    <row r="141">
      <c r="A141" s="2">
        <f>HYPERLINK("https://www.pcpacanada.ca/negotiation/21091", "Lenvima  (lenvatinib)")</f>
        <v>0</v>
      </c>
      <c r="B141" t="inlineStr">
        <is>
          <t>Eisai Limited</t>
        </is>
      </c>
      <c r="C141" t="inlineStr">
        <is>
          <t>Negotiations were not pursued</t>
        </is>
      </c>
      <c r="D141" t="inlineStr">
        <is>
          <t>advanced or metastatic, clear-cell renal cell carcinoma</t>
        </is>
      </c>
      <c r="E141" t="inlineStr">
        <is>
          <t>21091</t>
        </is>
      </c>
      <c r="F141" t="inlineStr">
        <is>
          <t>Eisai Limited</t>
        </is>
      </c>
      <c r="G141" t="inlineStr">
        <is>
          <t>pCODR 10140</t>
        </is>
      </c>
      <c r="H141" t="inlineStr">
        <is>
          <t>Not Applicable</t>
        </is>
      </c>
      <c r="I141" s="3">
        <v>43496</v>
      </c>
    </row>
    <row r="142">
      <c r="A142" s="2">
        <f>HYPERLINK("https://www.pcpacanada.ca/negotiation/21090", "Harvoni  (ledipasvir/sofosbuvir)")</f>
        <v>0</v>
      </c>
      <c r="B142" t="inlineStr">
        <is>
          <t>Gilead Sciences Canada Inc.</t>
        </is>
      </c>
      <c r="C142" t="inlineStr">
        <is>
          <t>Concluded with an LOI</t>
        </is>
      </c>
      <c r="D142" t="inlineStr">
        <is>
          <t>Chronic Hepatitis C</t>
        </is>
      </c>
      <c r="E142" t="inlineStr">
        <is>
          <t>21090</t>
        </is>
      </c>
      <c r="F142" t="inlineStr">
        <is>
          <t>Gilead Sciences Canada Inc.</t>
        </is>
      </c>
      <c r="G142" t="inlineStr">
        <is>
          <t>SF0465-000</t>
        </is>
      </c>
      <c r="H142" t="inlineStr">
        <is>
          <t>Not Applicable</t>
        </is>
      </c>
      <c r="I142" s="3">
        <v>42783</v>
      </c>
    </row>
    <row r="143">
      <c r="A143" s="2">
        <f>HYPERLINK("https://www.pcpacanada.ca/negotiation/21089", "Velphoro  (sucroferric oxyhydroxide)")</f>
        <v>0</v>
      </c>
      <c r="B143" t="inlineStr">
        <is>
          <t>Vifor Fresenius Medical Care Renal Pharma</t>
        </is>
      </c>
      <c r="C143" t="inlineStr">
        <is>
          <t>Concluded with an LOI</t>
        </is>
      </c>
      <c r="D143" t="inlineStr">
        <is>
          <t>Hyperphosphatemia, end-stage renal disease</t>
        </is>
      </c>
      <c r="E143" t="inlineStr">
        <is>
          <t>21089</t>
        </is>
      </c>
      <c r="F143" t="inlineStr">
        <is>
          <t>Vifor Fresenius Medical Care Renal Pharma</t>
        </is>
      </c>
      <c r="G143" t="inlineStr">
        <is>
          <t>SR0571-000</t>
        </is>
      </c>
      <c r="H143">
        <v>43567</v>
      </c>
      <c r="I143" s="3">
        <v>43725</v>
      </c>
    </row>
    <row r="144">
      <c r="A144" s="2">
        <f>HYPERLINK("https://www.pcpacanada.ca/negotiation/21088", "Soliqua  (lixisenatide/insulin glargine)")</f>
        <v>0</v>
      </c>
      <c r="B144" t="inlineStr">
        <is>
          <t>Sanofi-aventis Canada Inc.</t>
        </is>
      </c>
      <c r="C144" t="inlineStr">
        <is>
          <t>Concluded with an LOI</t>
        </is>
      </c>
      <c r="D144" t="inlineStr">
        <is>
          <t>Diabetes Mellitus, Type 2</t>
        </is>
      </c>
      <c r="E144" t="inlineStr">
        <is>
          <t>21088</t>
        </is>
      </c>
      <c r="F144" t="inlineStr">
        <is>
          <t>Sanofi-aventis Canada Inc.</t>
        </is>
      </c>
      <c r="G144" t="inlineStr">
        <is>
          <t>SR0564-000</t>
        </is>
      </c>
      <c r="H144">
        <v>43571</v>
      </c>
      <c r="I144" s="3">
        <v>43790</v>
      </c>
    </row>
    <row r="145">
      <c r="A145" s="2">
        <f>HYPERLINK("https://www.pcpacanada.ca/negotiation/21087", "Perjeta/Herceptin  (pertuzumab/trastuzumab)")</f>
        <v>0</v>
      </c>
      <c r="B145" t="inlineStr">
        <is>
          <t>Hoffmann-La Roche</t>
        </is>
      </c>
      <c r="C145" t="inlineStr">
        <is>
          <t>Negotiations were not pursued</t>
        </is>
      </c>
      <c r="D145" t="inlineStr">
        <is>
          <t>early breast cancer</t>
        </is>
      </c>
      <c r="E145" t="inlineStr">
        <is>
          <t>21087</t>
        </is>
      </c>
      <c r="F145" t="inlineStr">
        <is>
          <t>Hoffmann-La Roche</t>
        </is>
      </c>
      <c r="G145" t="inlineStr">
        <is>
          <t>pCODR 10127</t>
        </is>
      </c>
      <c r="H145" t="inlineStr">
        <is>
          <t>Not Applicable</t>
        </is>
      </c>
      <c r="I145" s="3">
        <v>43462</v>
      </c>
    </row>
    <row r="146">
      <c r="A146" s="2">
        <f>HYPERLINK("https://www.pcpacanada.ca/negotiation/21086", "Opdivo  (nivolumab)")</f>
        <v>0</v>
      </c>
      <c r="B146" t="inlineStr">
        <is>
          <t>Bristol Myers Squibb Canada Inc.</t>
        </is>
      </c>
      <c r="C146" t="inlineStr">
        <is>
          <t>Negotiations were not pursued</t>
        </is>
      </c>
      <c r="D146" t="inlineStr">
        <is>
          <t>hepatocellular carcinoma</t>
        </is>
      </c>
      <c r="E146" t="inlineStr">
        <is>
          <t>21086</t>
        </is>
      </c>
      <c r="F146" t="inlineStr">
        <is>
          <t>Bristol Myers Squibb Canada Inc.</t>
        </is>
      </c>
      <c r="G146" t="inlineStr">
        <is>
          <t>pCODR 10134</t>
        </is>
      </c>
      <c r="H146" t="inlineStr">
        <is>
          <t>Not Applicable</t>
        </is>
      </c>
      <c r="I146" s="3">
        <v>43494</v>
      </c>
    </row>
    <row r="147">
      <c r="A147" s="2">
        <f>HYPERLINK("https://www.pcpacanada.ca/negotiation/21085", "Daklinza  (daclatasvir)")</f>
        <v>0</v>
      </c>
      <c r="B147" t="inlineStr">
        <is>
          <t>Bristol Myers Squibb Canada Inc.</t>
        </is>
      </c>
      <c r="C147" t="inlineStr">
        <is>
          <t>Concluded with an LOI</t>
        </is>
      </c>
      <c r="D147" t="inlineStr">
        <is>
          <t>Chronic Hepatitis C</t>
        </is>
      </c>
      <c r="E147" t="inlineStr">
        <is>
          <t>21085</t>
        </is>
      </c>
      <c r="F147" t="inlineStr">
        <is>
          <t>Bristol Myers Squibb Canada Inc.</t>
        </is>
      </c>
      <c r="G147" t="inlineStr">
        <is>
          <t>Not Applicable</t>
        </is>
      </c>
      <c r="H147">
        <v>42573</v>
      </c>
      <c r="I147" s="3">
        <v>42783</v>
      </c>
    </row>
    <row r="148">
      <c r="A148" s="2">
        <f>HYPERLINK("https://www.pcpacanada.ca/negotiation/21084", "Januvia  (sitagliptin phosphate)")</f>
        <v>0</v>
      </c>
      <c r="B148" t="inlineStr">
        <is>
          <t>Merck Canada Inc.</t>
        </is>
      </c>
      <c r="C148" t="inlineStr">
        <is>
          <t>Concluded with an LOI</t>
        </is>
      </c>
      <c r="D148" t="inlineStr">
        <is>
          <t>Diabetes Mellitus, Type 2</t>
        </is>
      </c>
      <c r="E148" t="inlineStr">
        <is>
          <t>21084</t>
        </is>
      </c>
      <c r="F148" t="inlineStr">
        <is>
          <t>Merck Canada Inc.</t>
        </is>
      </c>
      <c r="G148" t="inlineStr">
        <is>
          <t>Not Applicable</t>
        </is>
      </c>
      <c r="H148">
        <v>43406</v>
      </c>
      <c r="I148" s="3">
        <v>43900</v>
      </c>
    </row>
    <row r="149">
      <c r="A149" s="2">
        <f>HYPERLINK("https://www.pcpacanada.ca/negotiation/21083", "Yervoy/Opdivo  (nivolumab/ipilimumab)")</f>
        <v>0</v>
      </c>
      <c r="B149" t="inlineStr">
        <is>
          <t>Bristol Myers Squibb Canada Inc.</t>
        </is>
      </c>
      <c r="C149" t="inlineStr">
        <is>
          <t>Concluded with an LOI</t>
        </is>
      </c>
      <c r="D149" t="inlineStr">
        <is>
          <t>renal cell carcinoma</t>
        </is>
      </c>
      <c r="E149" t="inlineStr">
        <is>
          <t>21083</t>
        </is>
      </c>
      <c r="F149" t="inlineStr">
        <is>
          <t>Bristol Myers Squibb Canada Inc.</t>
        </is>
      </c>
      <c r="G149" t="inlineStr">
        <is>
          <t>pCODR 10132</t>
        </is>
      </c>
      <c r="H149">
        <v>43462</v>
      </c>
      <c r="I149" s="3">
        <v>43544</v>
      </c>
    </row>
    <row r="150">
      <c r="A150" s="2">
        <f>HYPERLINK("https://www.pcpacanada.ca/negotiation/21082", "Gazyva  (obinutuzumab)")</f>
        <v>0</v>
      </c>
      <c r="B150" t="inlineStr">
        <is>
          <t>Hoffmann-La Roche</t>
        </is>
      </c>
      <c r="C150" t="inlineStr">
        <is>
          <t>Negotiations were not pursued</t>
        </is>
      </c>
      <c r="D150" t="inlineStr">
        <is>
          <t>Follicular Lymphoma</t>
        </is>
      </c>
      <c r="E150" t="inlineStr">
        <is>
          <t>21082</t>
        </is>
      </c>
      <c r="F150" t="inlineStr">
        <is>
          <t>Hoffmann-La Roche</t>
        </is>
      </c>
      <c r="G150" t="inlineStr">
        <is>
          <t>pCODR 10126</t>
        </is>
      </c>
      <c r="H150" t="inlineStr">
        <is>
          <t>Not Applicable</t>
        </is>
      </c>
      <c r="I150" s="3">
        <v>43441</v>
      </c>
    </row>
    <row r="151">
      <c r="A151" s="2">
        <f>HYPERLINK("https://www.pcpacanada.ca/negotiation/21081", "Erleada  (apalutamide)")</f>
        <v>0</v>
      </c>
      <c r="B151" t="inlineStr">
        <is>
          <t>Janssen Inc.</t>
        </is>
      </c>
      <c r="C151" t="inlineStr">
        <is>
          <t>Concluded with an LOI</t>
        </is>
      </c>
      <c r="D151" t="inlineStr">
        <is>
          <t>non-metastatic castrate resistant prostate cancer</t>
        </is>
      </c>
      <c r="E151" t="inlineStr">
        <is>
          <t>21081</t>
        </is>
      </c>
      <c r="F151" t="inlineStr">
        <is>
          <t>Janssen Inc.</t>
        </is>
      </c>
      <c r="G151" t="inlineStr">
        <is>
          <t>pCODR 10133</t>
        </is>
      </c>
      <c r="H151">
        <v>43538</v>
      </c>
      <c r="I151" s="3">
        <v>43655</v>
      </c>
    </row>
    <row r="152">
      <c r="A152" s="2">
        <f>HYPERLINK("https://www.pcpacanada.ca/negotiation/21080", "Xarelto  (rivaroxaban)")</f>
        <v>0</v>
      </c>
      <c r="B152" t="inlineStr">
        <is>
          <t>Bayer Inc.</t>
        </is>
      </c>
      <c r="C152" t="inlineStr">
        <is>
          <t>Concluded with an LOI</t>
        </is>
      </c>
      <c r="D152" t="inlineStr">
        <is>
          <t>Prevention of stroke and cardiovascular events in coronary and peripheral artery disease.</t>
        </is>
      </c>
      <c r="E152" t="inlineStr">
        <is>
          <t>21080</t>
        </is>
      </c>
      <c r="F152" t="inlineStr">
        <is>
          <t>Bayer Inc.</t>
        </is>
      </c>
      <c r="G152" t="inlineStr">
        <is>
          <t>SR0569-000</t>
        </is>
      </c>
      <c r="H152">
        <v>43553</v>
      </c>
      <c r="I152" s="3">
        <v>43784</v>
      </c>
    </row>
    <row r="153">
      <c r="A153" s="2">
        <f>HYPERLINK("https://www.pcpacanada.ca/negotiation/21079", "Ozurdex  (dexamethasone)")</f>
        <v>0</v>
      </c>
      <c r="B153" t="inlineStr">
        <is>
          <t>Allergan Inc.</t>
        </is>
      </c>
      <c r="C153" t="inlineStr">
        <is>
          <t>Negotiations were not pursued</t>
        </is>
      </c>
      <c r="D153" t="inlineStr">
        <is>
          <t>Diabetic Macular Edema</t>
        </is>
      </c>
      <c r="E153" t="inlineStr">
        <is>
          <t>21079</t>
        </is>
      </c>
      <c r="F153" t="inlineStr">
        <is>
          <t>Allergan Inc.</t>
        </is>
      </c>
      <c r="G153" t="inlineStr">
        <is>
          <t>SR0535-000</t>
        </is>
      </c>
      <c r="H153" t="inlineStr">
        <is>
          <t>Not Applicable</t>
        </is>
      </c>
      <c r="I153" s="3">
        <v>43433</v>
      </c>
    </row>
    <row r="154">
      <c r="A154" s="2">
        <f>HYPERLINK("https://www.pcpacanada.ca/negotiation/21078", "Biktarvy  (bictegravir/emtricitabine/tenofovir alafenamide)")</f>
        <v>0</v>
      </c>
      <c r="B154" t="inlineStr">
        <is>
          <t>Gilead Sciences Canada Inc.</t>
        </is>
      </c>
      <c r="C154" t="inlineStr">
        <is>
          <t>Concluded with an LOI</t>
        </is>
      </c>
      <c r="D154" t="inlineStr">
        <is>
          <t>HIV infection</t>
        </is>
      </c>
      <c r="E154" t="inlineStr">
        <is>
          <t>21078</t>
        </is>
      </c>
      <c r="F154" t="inlineStr">
        <is>
          <t>Gilead Sciences Canada Inc.</t>
        </is>
      </c>
      <c r="G154" t="inlineStr">
        <is>
          <t>SR0567-000</t>
        </is>
      </c>
      <c r="H154">
        <v>43523</v>
      </c>
      <c r="I154" s="3">
        <v>43630</v>
      </c>
    </row>
    <row r="155">
      <c r="A155" s="2">
        <f>HYPERLINK("https://www.pcpacanada.ca/negotiation/21077", "Fibristal  (ulipristal acetate)")</f>
        <v>0</v>
      </c>
      <c r="B155" t="inlineStr">
        <is>
          <t>Allergan Inc.</t>
        </is>
      </c>
      <c r="C155" t="inlineStr">
        <is>
          <t>Concluded with an LOI</t>
        </is>
      </c>
      <c r="D155" t="inlineStr">
        <is>
          <t>Intermittent treatment of moderate to severe signs and symptoms of uterine fibroids _x000D_
uterine fibroids</t>
        </is>
      </c>
      <c r="E155" t="inlineStr">
        <is>
          <t>21077</t>
        </is>
      </c>
      <c r="F155" t="inlineStr">
        <is>
          <t>Allergan Inc.</t>
        </is>
      </c>
      <c r="G155" t="inlineStr">
        <is>
          <t>SF0528-000</t>
        </is>
      </c>
      <c r="H155">
        <v>43371</v>
      </c>
      <c r="I155" s="3">
        <v>43683</v>
      </c>
    </row>
    <row r="156">
      <c r="A156" s="2">
        <f>HYPERLINK("https://www.pcpacanada.ca/negotiation/21076", "Alecensaro  (alectinib)")</f>
        <v>0</v>
      </c>
      <c r="B156" t="inlineStr">
        <is>
          <t>Hoffmann-La Roche</t>
        </is>
      </c>
      <c r="C156" t="inlineStr">
        <is>
          <t>Concluded with an LOI</t>
        </is>
      </c>
      <c r="D156" t="inlineStr">
        <is>
          <t>Non-Small Cell Lung Cancer (First Line)</t>
        </is>
      </c>
      <c r="E156" t="inlineStr">
        <is>
          <t>21076</t>
        </is>
      </c>
      <c r="F156" t="inlineStr">
        <is>
          <t>Hoffmann-La Roche</t>
        </is>
      </c>
      <c r="G156" t="inlineStr">
        <is>
          <t>pCODR 10125</t>
        </is>
      </c>
      <c r="H156">
        <v>43350</v>
      </c>
      <c r="I156" s="3">
        <v>43445</v>
      </c>
    </row>
    <row r="157">
      <c r="A157" s="2">
        <f>HYPERLINK("https://www.pcpacanada.ca/negotiation/21075", "Praluent  (alirocumab)")</f>
        <v>0</v>
      </c>
      <c r="B157" t="inlineStr">
        <is>
          <t>Sanofi-aventis Canada Inc.</t>
        </is>
      </c>
      <c r="C157" t="inlineStr">
        <is>
          <t>Concluded without agreement</t>
        </is>
      </c>
      <c r="D157" t="inlineStr">
        <is>
          <t>Atherosclerotic cardiovascular disease</t>
        </is>
      </c>
      <c r="E157" t="inlineStr">
        <is>
          <t>21075</t>
        </is>
      </c>
      <c r="F157" t="inlineStr">
        <is>
          <t>Sanofi-aventis Canada Inc.</t>
        </is>
      </c>
      <c r="G157" t="inlineStr">
        <is>
          <t>Not Applicable</t>
        </is>
      </c>
      <c r="H157">
        <v>43320</v>
      </c>
      <c r="I157" s="3">
        <v>43742</v>
      </c>
    </row>
    <row r="158">
      <c r="A158" s="2">
        <f>HYPERLINK("https://www.pcpacanada.ca/negotiation/21074", "Orkambi  (lumacaftor/ivacaftor)")</f>
        <v>0</v>
      </c>
      <c r="B158" t="inlineStr">
        <is>
          <t>Vertex Pharmaceuticals (Canada) Incorporated</t>
        </is>
      </c>
      <c r="C158" t="inlineStr">
        <is>
          <t>Negotiations were not pursued</t>
        </is>
      </c>
      <c r="D158" t="inlineStr">
        <is>
          <t>Cystic Fibrosis, F508del CFTR mutation</t>
        </is>
      </c>
      <c r="E158" t="inlineStr">
        <is>
          <t>21074</t>
        </is>
      </c>
      <c r="F158" t="inlineStr">
        <is>
          <t>Vertex Pharmaceuticals (Canada) Incorporated</t>
        </is>
      </c>
      <c r="G158" t="inlineStr">
        <is>
          <t>SR0559-000</t>
        </is>
      </c>
      <c r="H158" t="inlineStr">
        <is>
          <t>Not Applicable</t>
        </is>
      </c>
      <c r="I158" s="3">
        <v>43515</v>
      </c>
    </row>
    <row r="159">
      <c r="A159" s="2">
        <f>HYPERLINK("https://www.pcpacanada.ca/negotiation/21073", "Arbesda RespiClick  (fluticasone propionate/salmeterol xinafoate)")</f>
        <v>0</v>
      </c>
      <c r="B159" t="inlineStr">
        <is>
          <t>Teva Canada Limited</t>
        </is>
      </c>
      <c r="C159" t="inlineStr">
        <is>
          <t>Concluded without agreement</t>
        </is>
      </c>
      <c r="D159" t="inlineStr">
        <is>
          <t>Asthma</t>
        </is>
      </c>
      <c r="E159" t="inlineStr">
        <is>
          <t>21073</t>
        </is>
      </c>
      <c r="F159" t="inlineStr">
        <is>
          <t>Teva Canada Limited</t>
        </is>
      </c>
      <c r="G159" t="inlineStr">
        <is>
          <t>SR0540-000</t>
        </is>
      </c>
      <c r="H159">
        <v>43567</v>
      </c>
      <c r="I159" s="3">
        <v>43677</v>
      </c>
    </row>
    <row r="160">
      <c r="A160" s="2">
        <f>HYPERLINK("https://www.pcpacanada.ca/negotiation/21072", "Aermony Respiclick  (fluticasone propionate)")</f>
        <v>0</v>
      </c>
      <c r="B160" t="inlineStr">
        <is>
          <t>Teva Canada Limited</t>
        </is>
      </c>
      <c r="C160" t="inlineStr">
        <is>
          <t>Concluded without agreement</t>
        </is>
      </c>
      <c r="D160" t="inlineStr">
        <is>
          <t>Asthma</t>
        </is>
      </c>
      <c r="E160" t="inlineStr">
        <is>
          <t>21072</t>
        </is>
      </c>
      <c r="F160" t="inlineStr">
        <is>
          <t>Teva Canada Limited</t>
        </is>
      </c>
      <c r="G160" t="inlineStr">
        <is>
          <t>SR0539-000</t>
        </is>
      </c>
      <c r="H160">
        <v>43567</v>
      </c>
      <c r="I160" s="3">
        <v>43677</v>
      </c>
    </row>
    <row r="161">
      <c r="A161" s="2">
        <f>HYPERLINK("https://www.pcpacanada.ca/negotiation/21071", "Viberzi  (eluxadoline)")</f>
        <v>0</v>
      </c>
      <c r="B161" t="inlineStr">
        <is>
          <t>Allergan Inc.</t>
        </is>
      </c>
      <c r="C161" t="inlineStr">
        <is>
          <t>Negotiations were not pursued</t>
        </is>
      </c>
      <c r="D161" t="inlineStr">
        <is>
          <t>Irritable Bowel Syndrome</t>
        </is>
      </c>
      <c r="E161" t="inlineStr">
        <is>
          <t>21071</t>
        </is>
      </c>
      <c r="F161" t="inlineStr">
        <is>
          <t>Allergan Inc.</t>
        </is>
      </c>
      <c r="G161" t="inlineStr">
        <is>
          <t>SR0560-000</t>
        </is>
      </c>
      <c r="H161" t="inlineStr">
        <is>
          <t>Not Applicable</t>
        </is>
      </c>
      <c r="I161" s="3">
        <v>43411</v>
      </c>
    </row>
    <row r="162">
      <c r="A162" s="2">
        <f>HYPERLINK("https://www.pcpacanada.ca/negotiation/21070", "Kanuma  (sebelipase alfa)")</f>
        <v>0</v>
      </c>
      <c r="B162" t="inlineStr">
        <is>
          <t>Alexion Pharma GMBH</t>
        </is>
      </c>
      <c r="C162" t="inlineStr">
        <is>
          <t>Concluded with an LOI</t>
        </is>
      </c>
      <c r="D162" t="inlineStr">
        <is>
          <t>Lysosomal acid lipase deficiency</t>
        </is>
      </c>
      <c r="E162" t="inlineStr">
        <is>
          <t>21070</t>
        </is>
      </c>
      <c r="F162" t="inlineStr">
        <is>
          <t>Alexion Pharma GMBH</t>
        </is>
      </c>
      <c r="G162" t="inlineStr">
        <is>
          <t>SR0544-000</t>
        </is>
      </c>
      <c r="H162">
        <v>43434</v>
      </c>
      <c r="I162" s="3">
        <v>44125</v>
      </c>
    </row>
    <row r="163">
      <c r="A163" s="2">
        <f>HYPERLINK("https://www.pcpacanada.ca/negotiation/21069", "Trelegy Ellipta  (fluticasone furoate/umeclidinium/vilanterol)")</f>
        <v>0</v>
      </c>
      <c r="B163" t="inlineStr">
        <is>
          <t>GlaxoSmithKline</t>
        </is>
      </c>
      <c r="C163" t="inlineStr">
        <is>
          <t>Concluded with an LOI</t>
        </is>
      </c>
      <c r="D163" t="inlineStr">
        <is>
          <t>Chronic Obstructive Pulmonary Disease</t>
        </is>
      </c>
      <c r="E163" t="inlineStr">
        <is>
          <t>21069</t>
        </is>
      </c>
      <c r="F163" t="inlineStr">
        <is>
          <t>GlaxoSmithKline</t>
        </is>
      </c>
      <c r="G163" t="inlineStr">
        <is>
          <t>SR0562-000</t>
        </is>
      </c>
      <c r="H163">
        <v>43434</v>
      </c>
      <c r="I163" s="3">
        <v>43717</v>
      </c>
    </row>
    <row r="164">
      <c r="A164" s="2">
        <f>HYPERLINK("https://www.pcpacanada.ca/negotiation/21068", "Mavenclad  (cladribine)")</f>
        <v>0</v>
      </c>
      <c r="B164" t="inlineStr">
        <is>
          <t>EMD Serono a Division of EMD Inc. Canada</t>
        </is>
      </c>
      <c r="C164" t="inlineStr">
        <is>
          <t>Concluded with an LOI</t>
        </is>
      </c>
      <c r="D164" t="inlineStr">
        <is>
          <t>Relapsing-Remitting Multiple Sclerosis</t>
        </is>
      </c>
      <c r="E164" t="inlineStr">
        <is>
          <t>21068</t>
        </is>
      </c>
      <c r="F164" t="inlineStr">
        <is>
          <t>EMD Serono a Division of EMD Inc. Canada</t>
        </is>
      </c>
      <c r="G164" t="inlineStr">
        <is>
          <t>SR0546</t>
        </is>
      </c>
      <c r="H164">
        <v>43510</v>
      </c>
      <c r="I164" s="3">
        <v>43791</v>
      </c>
    </row>
    <row r="165">
      <c r="A165" s="2">
        <f>HYPERLINK("https://www.pcpacanada.ca/negotiation/21067", "Nucynta  (tapentadol hydrochloride)")</f>
        <v>0</v>
      </c>
      <c r="B165" t="inlineStr">
        <is>
          <t>Paladin Labs Inc.</t>
        </is>
      </c>
      <c r="C165" t="inlineStr">
        <is>
          <t>Negotiations were not pursued</t>
        </is>
      </c>
      <c r="D165" t="inlineStr">
        <is>
          <t>Pain, severe</t>
        </is>
      </c>
      <c r="E165" t="inlineStr">
        <is>
          <t>21067</t>
        </is>
      </c>
      <c r="F165" t="inlineStr">
        <is>
          <t>Paladin Labs Inc.</t>
        </is>
      </c>
      <c r="G165" t="inlineStr">
        <is>
          <t>SR0563-000</t>
        </is>
      </c>
      <c r="H165" t="inlineStr">
        <is>
          <t>Not Applicable</t>
        </is>
      </c>
      <c r="I165" s="3">
        <v>43433</v>
      </c>
    </row>
    <row r="166">
      <c r="A166" s="2">
        <f>HYPERLINK("https://www.pcpacanada.ca/negotiation/21066", "Fasenra  (benralizumab)")</f>
        <v>0</v>
      </c>
      <c r="B166" t="inlineStr">
        <is>
          <t>AstraZeneca Canada Inc.</t>
        </is>
      </c>
      <c r="C166" t="inlineStr">
        <is>
          <t>Concluded with an LOI</t>
        </is>
      </c>
      <c r="D166" t="inlineStr">
        <is>
          <t>Eosinophilic Asthma</t>
        </is>
      </c>
      <c r="E166" t="inlineStr">
        <is>
          <t>21066</t>
        </is>
      </c>
      <c r="F166" t="inlineStr">
        <is>
          <t>AstraZeneca Canada Inc.</t>
        </is>
      </c>
      <c r="G166" t="inlineStr">
        <is>
          <t>SR0561-000</t>
        </is>
      </c>
      <c r="H166">
        <v>43434</v>
      </c>
      <c r="I166" s="3">
        <v>43588</v>
      </c>
    </row>
    <row r="167">
      <c r="A167" s="2">
        <f>HYPERLINK("https://www.pcpacanada.ca/negotiation/21065", "Dysport Therapeutic  (abobotulinumtoxina)")</f>
        <v>0</v>
      </c>
      <c r="B167" t="inlineStr">
        <is>
          <t>Ipsen Biopharmaceuticals</t>
        </is>
      </c>
      <c r="C167" t="inlineStr">
        <is>
          <t>Concluded with an LOI</t>
        </is>
      </c>
      <c r="D167" t="inlineStr">
        <is>
          <t>Lower Limb Spasticity</t>
        </is>
      </c>
      <c r="E167" t="inlineStr">
        <is>
          <t>21065</t>
        </is>
      </c>
      <c r="F167" t="inlineStr">
        <is>
          <t>Ipsen Biopharmaceuticals</t>
        </is>
      </c>
      <c r="G167" t="inlineStr">
        <is>
          <t>SR0556</t>
        </is>
      </c>
      <c r="H167">
        <v>43342</v>
      </c>
      <c r="I167" s="3">
        <v>43342</v>
      </c>
    </row>
    <row r="168">
      <c r="A168" s="2">
        <f>HYPERLINK("https://www.pcpacanada.ca/negotiation/21064", "Nitisinone  (nitisinone)")</f>
        <v>0</v>
      </c>
      <c r="B168" t="inlineStr">
        <is>
          <t>Cycle Pharmaceuticals Ltd.</t>
        </is>
      </c>
      <c r="C168" t="inlineStr">
        <is>
          <t>Concluded with an LOI</t>
        </is>
      </c>
      <c r="D168" t="inlineStr">
        <is>
          <t>Hereditary Tyrosinemia Type 1</t>
        </is>
      </c>
      <c r="E168" t="inlineStr">
        <is>
          <t>21064</t>
        </is>
      </c>
      <c r="F168" t="inlineStr">
        <is>
          <t>Cycle Pharmaceuticals Ltd.</t>
        </is>
      </c>
      <c r="G168" t="inlineStr">
        <is>
          <t>SR0554</t>
        </is>
      </c>
      <c r="H168">
        <v>43333</v>
      </c>
      <c r="I168" s="3">
        <v>43432</v>
      </c>
    </row>
    <row r="169">
      <c r="A169" s="2">
        <f>HYPERLINK("https://www.pcpacanada.ca/negotiation/21063", "Taltz  (ixekizumab)")</f>
        <v>0</v>
      </c>
      <c r="B169" t="inlineStr">
        <is>
          <t>Eli Lilly Canada Inc.</t>
        </is>
      </c>
      <c r="C169" t="inlineStr">
        <is>
          <t>Concluded with an LOI</t>
        </is>
      </c>
      <c r="D169" t="inlineStr">
        <is>
          <t>Psoriatic Arthritis</t>
        </is>
      </c>
      <c r="E169" t="inlineStr">
        <is>
          <t>21063</t>
        </is>
      </c>
      <c r="F169" t="inlineStr">
        <is>
          <t>Eli Lilly Canada Inc.</t>
        </is>
      </c>
      <c r="G169" t="inlineStr">
        <is>
          <t>SR0558-000</t>
        </is>
      </c>
      <c r="H169">
        <v>43376</v>
      </c>
      <c r="I169" s="3">
        <v>43412</v>
      </c>
    </row>
    <row r="170">
      <c r="A170" s="2">
        <f>HYPERLINK("https://www.pcpacanada.ca/negotiation/21062", "Duodopa  (levodopa/carbidopa)")</f>
        <v>0</v>
      </c>
      <c r="B170" t="inlineStr">
        <is>
          <t>AbbVie Corporation</t>
        </is>
      </c>
      <c r="C170" t="inlineStr">
        <is>
          <t>Concluded with an LOI</t>
        </is>
      </c>
      <c r="D170" t="inlineStr">
        <is>
          <t>Parkinson's Disease</t>
        </is>
      </c>
      <c r="E170" t="inlineStr">
        <is>
          <t>21062</t>
        </is>
      </c>
      <c r="F170" t="inlineStr">
        <is>
          <t>AbbVie Corporation</t>
        </is>
      </c>
      <c r="G170" t="inlineStr">
        <is>
          <t>SR0557-000</t>
        </is>
      </c>
      <c r="H170">
        <v>43462</v>
      </c>
      <c r="I170" s="3">
        <v>43573</v>
      </c>
    </row>
    <row r="171">
      <c r="A171" s="2">
        <f>HYPERLINK("https://www.pcpacanada.ca/negotiation/21061", "Probuphine  (buprenorphine)")</f>
        <v>0</v>
      </c>
      <c r="B171" t="inlineStr">
        <is>
          <t>Knight Therapeutics</t>
        </is>
      </c>
      <c r="C171" t="inlineStr">
        <is>
          <t>Concluded with an LOI</t>
        </is>
      </c>
      <c r="D171" t="inlineStr">
        <is>
          <t>Opioid Use Disorder</t>
        </is>
      </c>
      <c r="E171" t="inlineStr">
        <is>
          <t>21061</t>
        </is>
      </c>
      <c r="F171" t="inlineStr">
        <is>
          <t>Knight Therapeutics</t>
        </is>
      </c>
      <c r="G171" t="inlineStr">
        <is>
          <t>SR0550-000</t>
        </is>
      </c>
      <c r="H171">
        <v>43434</v>
      </c>
      <c r="I171" s="3">
        <v>43588</v>
      </c>
    </row>
    <row r="172">
      <c r="A172" s="2">
        <f>HYPERLINK("https://www.pcpacanada.ca/negotiation/21060", "Ozanex  (ozenoxacin)")</f>
        <v>0</v>
      </c>
      <c r="B172" t="inlineStr">
        <is>
          <t>Ferrer Internacional</t>
        </is>
      </c>
      <c r="C172" t="inlineStr">
        <is>
          <t>Negotiations were not pursued</t>
        </is>
      </c>
      <c r="D172" t="inlineStr">
        <is>
          <t>Impetigo</t>
        </is>
      </c>
      <c r="E172" t="inlineStr">
        <is>
          <t>21060</t>
        </is>
      </c>
      <c r="F172" t="inlineStr">
        <is>
          <t>Ferrer Internacional</t>
        </is>
      </c>
      <c r="G172" t="inlineStr">
        <is>
          <t>SR0553-000</t>
        </is>
      </c>
      <c r="H172" t="inlineStr">
        <is>
          <t>Not Applicable</t>
        </is>
      </c>
      <c r="I172" s="3">
        <v>43434</v>
      </c>
    </row>
    <row r="173">
      <c r="A173" s="2">
        <f>HYPERLINK("https://www.pcpacanada.ca/negotiation/21059", "Symtuza  (darunavir/cobicistat/emtricitabine/tenofovir alafenamide)")</f>
        <v>0</v>
      </c>
      <c r="B173" t="inlineStr">
        <is>
          <t>Janssen Inc.</t>
        </is>
      </c>
      <c r="C173" t="inlineStr">
        <is>
          <t>Concluded without agreement</t>
        </is>
      </c>
      <c r="D173" t="inlineStr">
        <is>
          <t>HIV infection</t>
        </is>
      </c>
      <c r="E173" t="inlineStr">
        <is>
          <t>21059</t>
        </is>
      </c>
      <c r="F173" t="inlineStr">
        <is>
          <t>Janssen Inc.</t>
        </is>
      </c>
      <c r="G173" t="inlineStr">
        <is>
          <t>SR0552-000</t>
        </is>
      </c>
      <c r="H173">
        <v>43523</v>
      </c>
      <c r="I173" s="3">
        <v>43607</v>
      </c>
    </row>
    <row r="174">
      <c r="A174" s="2">
        <f>HYPERLINK("https://www.pcpacanada.ca/negotiation/21058", "Lonsurf  (trifluridine/tipiracil)")</f>
        <v>0</v>
      </c>
      <c r="B174" t="inlineStr">
        <is>
          <t>Taiho Pharma Canada Inc.</t>
        </is>
      </c>
      <c r="C174" t="inlineStr">
        <is>
          <t>Concluded with an LOI</t>
        </is>
      </c>
      <c r="D174" t="inlineStr">
        <is>
          <t>Metastatic Colorectal Cancer</t>
        </is>
      </c>
      <c r="E174" t="inlineStr">
        <is>
          <t>21058</t>
        </is>
      </c>
      <c r="F174" t="inlineStr">
        <is>
          <t>Taiho Pharma Canada Inc.</t>
        </is>
      </c>
      <c r="G174" t="inlineStr">
        <is>
          <t>pCODR 10122</t>
        </is>
      </c>
      <c r="H174">
        <v>43615</v>
      </c>
      <c r="I174" s="3">
        <v>43685</v>
      </c>
    </row>
    <row r="175">
      <c r="A175" s="2">
        <f>HYPERLINK("https://www.pcpacanada.ca/negotiation/21057", "Besponsa  (inotuzumab ozogamicin)")</f>
        <v>0</v>
      </c>
      <c r="B175" t="inlineStr">
        <is>
          <t>Pfizer Canada ULC</t>
        </is>
      </c>
      <c r="C175" t="inlineStr">
        <is>
          <t>Concluded with an LOI</t>
        </is>
      </c>
      <c r="D175" t="inlineStr">
        <is>
          <t>Acute Lymphoblastic Leukemia</t>
        </is>
      </c>
      <c r="E175" t="inlineStr">
        <is>
          <t>21057</t>
        </is>
      </c>
      <c r="F175" t="inlineStr">
        <is>
          <t>Pfizer Canada ULC</t>
        </is>
      </c>
      <c r="G175" t="inlineStr">
        <is>
          <t>pCODR 10121</t>
        </is>
      </c>
      <c r="H175">
        <v>43350</v>
      </c>
      <c r="I175" s="3">
        <v>43502</v>
      </c>
    </row>
    <row r="176">
      <c r="A176" s="2">
        <f>HYPERLINK("https://www.pcpacanada.ca/negotiation/21056", "Tecentriq  (atezolizumab)")</f>
        <v>0</v>
      </c>
      <c r="B176" t="inlineStr">
        <is>
          <t>Hoffmann-La Roche</t>
        </is>
      </c>
      <c r="C176" t="inlineStr">
        <is>
          <t>Concluded with an LOI</t>
        </is>
      </c>
      <c r="D176" t="inlineStr">
        <is>
          <t>Non-small Cell Lung Cancer</t>
        </is>
      </c>
      <c r="E176" t="inlineStr">
        <is>
          <t>21056</t>
        </is>
      </c>
      <c r="F176" t="inlineStr">
        <is>
          <t>Hoffmann-La Roche</t>
        </is>
      </c>
      <c r="G176" t="inlineStr">
        <is>
          <t>pCODR 10115</t>
        </is>
      </c>
      <c r="H176">
        <v>43301</v>
      </c>
      <c r="I176" s="3">
        <v>43433</v>
      </c>
    </row>
    <row r="177">
      <c r="A177" s="2">
        <f>HYPERLINK("https://www.pcpacanada.ca/negotiation/21055", "Dupixent  (dupilumab)")</f>
        <v>0</v>
      </c>
      <c r="B177" t="inlineStr">
        <is>
          <t>Sanofi Genzyme</t>
        </is>
      </c>
      <c r="C177" t="inlineStr">
        <is>
          <t>Concluded with an LOI</t>
        </is>
      </c>
      <c r="D177" t="inlineStr">
        <is>
          <t>Atopic dermatitis</t>
        </is>
      </c>
      <c r="E177" t="inlineStr">
        <is>
          <t>21055</t>
        </is>
      </c>
      <c r="F177" t="inlineStr">
        <is>
          <t>Sanofi Genzyme</t>
        </is>
      </c>
      <c r="G177" t="inlineStr">
        <is>
          <t>SR0533-000</t>
        </is>
      </c>
      <c r="H177">
        <v>43426</v>
      </c>
      <c r="I177" s="3">
        <v>43725</v>
      </c>
    </row>
    <row r="178">
      <c r="A178" s="2">
        <f>HYPERLINK("https://www.pcpacanada.ca/negotiation/21054", "Lapelga  (pegfilgrastrim)")</f>
        <v>0</v>
      </c>
      <c r="B178" t="inlineStr">
        <is>
          <t>Apobiologix</t>
        </is>
      </c>
      <c r="C178" t="inlineStr">
        <is>
          <t>Concluded with an LOI</t>
        </is>
      </c>
      <c r="D178" t="inlineStr">
        <is>
          <t>Febrile Neutropenia</t>
        </is>
      </c>
      <c r="E178" t="inlineStr">
        <is>
          <t>21054</t>
        </is>
      </c>
      <c r="F178" t="inlineStr">
        <is>
          <t>Apobiologix</t>
        </is>
      </c>
      <c r="G178" t="inlineStr">
        <is>
          <t>Not Applicable</t>
        </is>
      </c>
      <c r="H178">
        <v>43383</v>
      </c>
      <c r="I178" s="3">
        <v>43524</v>
      </c>
    </row>
    <row r="179">
      <c r="A179" s="2">
        <f>HYPERLINK("https://www.pcpacanada.ca/negotiation/21053", "Siliq  (brodalumab)")</f>
        <v>0</v>
      </c>
      <c r="B179" t="inlineStr">
        <is>
          <t>Valeant Canada</t>
        </is>
      </c>
      <c r="C179" t="inlineStr">
        <is>
          <t>Concluded with an LOI</t>
        </is>
      </c>
      <c r="D179" t="inlineStr">
        <is>
          <t>Psoriasis, moderate to severe plaque</t>
        </is>
      </c>
      <c r="E179" t="inlineStr">
        <is>
          <t>21053</t>
        </is>
      </c>
      <c r="F179" t="inlineStr">
        <is>
          <t>Valeant Canada</t>
        </is>
      </c>
      <c r="G179" t="inlineStr">
        <is>
          <t>SR0547-000</t>
        </is>
      </c>
      <c r="H179">
        <v>43378</v>
      </c>
      <c r="I179" s="3">
        <v>43448</v>
      </c>
    </row>
    <row r="180">
      <c r="A180" s="2">
        <f>HYPERLINK("https://www.pcpacanada.ca/negotiation/21052", "Prevymis  (letermovir)")</f>
        <v>0</v>
      </c>
      <c r="B180" t="inlineStr">
        <is>
          <t>Merck Canada Inc.</t>
        </is>
      </c>
      <c r="C180" t="inlineStr">
        <is>
          <t>Concluded with an LOI</t>
        </is>
      </c>
      <c r="D180" t="inlineStr">
        <is>
          <t>Cytomegalovirus infection prophylaxis</t>
        </is>
      </c>
      <c r="E180" t="inlineStr">
        <is>
          <t>21052</t>
        </is>
      </c>
      <c r="F180" t="inlineStr">
        <is>
          <t>Merck Canada Inc.</t>
        </is>
      </c>
      <c r="G180" t="inlineStr">
        <is>
          <t>SR0545-000</t>
        </is>
      </c>
      <c r="H180">
        <v>43433</v>
      </c>
      <c r="I180" s="3">
        <v>43817</v>
      </c>
    </row>
    <row r="181">
      <c r="A181" s="2">
        <f>HYPERLINK("https://www.pcpacanada.ca/negotiation/21051", "Juluca  (dolutegravir/rilpivirine)")</f>
        <v>0</v>
      </c>
      <c r="B181" t="inlineStr">
        <is>
          <t>ViiV Healthcare</t>
        </is>
      </c>
      <c r="C181" t="inlineStr">
        <is>
          <t>Concluded with an LOI</t>
        </is>
      </c>
      <c r="D181" t="inlineStr">
        <is>
          <t>HIV infection</t>
        </is>
      </c>
      <c r="E181" t="inlineStr">
        <is>
          <t>21051</t>
        </is>
      </c>
      <c r="F181" t="inlineStr">
        <is>
          <t>ViiV Healthcare</t>
        </is>
      </c>
      <c r="G181" t="inlineStr">
        <is>
          <t>SR0551-000</t>
        </is>
      </c>
      <c r="H181">
        <v>43315</v>
      </c>
      <c r="I181" s="3">
        <v>43509</v>
      </c>
    </row>
    <row r="182">
      <c r="A182" s="2">
        <f>HYPERLINK("https://www.pcpacanada.ca/negotiation/21050", "Akynzeo  (netupitant/palonosetron)")</f>
        <v>0</v>
      </c>
      <c r="B182" t="inlineStr">
        <is>
          <t>Purdue Pharma</t>
        </is>
      </c>
      <c r="C182" t="inlineStr">
        <is>
          <t>Concluded with an LOI</t>
        </is>
      </c>
      <c r="D182" t="inlineStr">
        <is>
          <t>Nausea and vomiting (chemotherapy induced) prevention</t>
        </is>
      </c>
      <c r="E182" t="inlineStr">
        <is>
          <t>21050</t>
        </is>
      </c>
      <c r="F182" t="inlineStr">
        <is>
          <t>Purdue Pharma</t>
        </is>
      </c>
      <c r="G182" t="inlineStr">
        <is>
          <t>SR0548-000</t>
        </is>
      </c>
      <c r="H182">
        <v>43362</v>
      </c>
      <c r="I182" s="3">
        <v>43579</v>
      </c>
    </row>
    <row r="183">
      <c r="A183" s="2">
        <f>HYPERLINK("https://www.pcpacanada.ca/negotiation/21049", "Toujeo  (insulin glargine injection)")</f>
        <v>0</v>
      </c>
      <c r="B183" t="inlineStr">
        <is>
          <t>Sanofi-aventis Canada Inc.</t>
        </is>
      </c>
      <c r="C183" t="inlineStr">
        <is>
          <t>Concluded with an LOI</t>
        </is>
      </c>
      <c r="D183" t="inlineStr">
        <is>
          <t>Diabetes Mellitus, Type 1 &amp; 2</t>
        </is>
      </c>
      <c r="E183" t="inlineStr">
        <is>
          <t>21049</t>
        </is>
      </c>
      <c r="F183" t="inlineStr">
        <is>
          <t>Sanofi-aventis Canada Inc.</t>
        </is>
      </c>
      <c r="G183" t="inlineStr">
        <is>
          <t>Not Applicable</t>
        </is>
      </c>
      <c r="H183">
        <v>43265</v>
      </c>
      <c r="I183" s="3">
        <v>43355</v>
      </c>
    </row>
    <row r="184">
      <c r="A184" s="2">
        <f>HYPERLINK("https://www.pcpacanada.ca/negotiation/21048", "Rituxan SC  (rituximab)")</f>
        <v>0</v>
      </c>
      <c r="B184" t="inlineStr">
        <is>
          <t>Hoffmann-La Roche</t>
        </is>
      </c>
      <c r="C184" t="inlineStr">
        <is>
          <t>Concluded with an LOI</t>
        </is>
      </c>
      <c r="D184" t="inlineStr">
        <is>
          <t>Chronic Lymphocytic Leukemia</t>
        </is>
      </c>
      <c r="E184" t="inlineStr">
        <is>
          <t>21048</t>
        </is>
      </c>
      <c r="F184" t="inlineStr">
        <is>
          <t>Hoffmann-La Roche</t>
        </is>
      </c>
      <c r="G184" t="inlineStr">
        <is>
          <t>Not Applicable</t>
        </is>
      </c>
      <c r="H184">
        <v>43255</v>
      </c>
      <c r="I184" s="3">
        <v>43325</v>
      </c>
    </row>
    <row r="185">
      <c r="A185" s="2">
        <f>HYPERLINK("https://www.pcpacanada.ca/negotiation/21047", "Kevzara  (sarilumab)")</f>
        <v>0</v>
      </c>
      <c r="B185" t="inlineStr">
        <is>
          <t>Sanofi-aventis Canada Inc.</t>
        </is>
      </c>
      <c r="C185" t="inlineStr">
        <is>
          <t>Concluded with an LOI</t>
        </is>
      </c>
      <c r="D185" t="inlineStr">
        <is>
          <t>Subacute and chronic inflammatory joint diseases</t>
        </is>
      </c>
      <c r="E185" t="inlineStr">
        <is>
          <t>21047</t>
        </is>
      </c>
      <c r="F185" t="inlineStr">
        <is>
          <t>Sanofi-aventis Canada Inc.</t>
        </is>
      </c>
      <c r="G185" t="inlineStr">
        <is>
          <t>Not Applicable</t>
        </is>
      </c>
      <c r="H185">
        <v>43265</v>
      </c>
      <c r="I185" s="3">
        <v>43522</v>
      </c>
    </row>
    <row r="186">
      <c r="A186" s="2">
        <f>HYPERLINK("https://www.pcpacanada.ca/negotiation/21046", "Dysport Therapeutic  (abobotulinumtoxina)")</f>
        <v>0</v>
      </c>
      <c r="B186" t="inlineStr">
        <is>
          <t>Ipsen Biopharmaceuticals</t>
        </is>
      </c>
      <c r="C186" t="inlineStr">
        <is>
          <t>Concluded with an LOI</t>
        </is>
      </c>
      <c r="D186" t="inlineStr">
        <is>
          <t>Upper Limb Spasticity</t>
        </is>
      </c>
      <c r="E186" t="inlineStr">
        <is>
          <t>21046</t>
        </is>
      </c>
      <c r="F186" t="inlineStr">
        <is>
          <t>Ipsen Biopharmaceuticals</t>
        </is>
      </c>
      <c r="G186" t="inlineStr">
        <is>
          <t>SR0517</t>
        </is>
      </c>
      <c r="H186">
        <v>43224</v>
      </c>
      <c r="I186" s="3">
        <v>43298</v>
      </c>
    </row>
    <row r="187">
      <c r="A187" s="2">
        <f>HYPERLINK("https://www.pcpacanada.ca/negotiation/21045", "Dysport Therapeutic  (abobotulinumtoxina)")</f>
        <v>0</v>
      </c>
      <c r="B187" t="inlineStr">
        <is>
          <t>Ipsen Biopharmaceuticals</t>
        </is>
      </c>
      <c r="C187" t="inlineStr">
        <is>
          <t>Concluded with an LOI</t>
        </is>
      </c>
      <c r="D187" t="inlineStr">
        <is>
          <t>Cervical dystonia</t>
        </is>
      </c>
      <c r="E187" t="inlineStr">
        <is>
          <t>21045</t>
        </is>
      </c>
      <c r="F187" t="inlineStr">
        <is>
          <t>Ipsen Biopharmaceuticals</t>
        </is>
      </c>
      <c r="G187" t="inlineStr">
        <is>
          <t>SR0512-000</t>
        </is>
      </c>
      <c r="H187">
        <v>43224</v>
      </c>
      <c r="I187" s="3">
        <v>43298</v>
      </c>
    </row>
    <row r="188">
      <c r="A188" s="2">
        <f>HYPERLINK("https://www.pcpacanada.ca/negotiation/21044", "Enstilar  (calcipotriol/betamethasone)")</f>
        <v>0</v>
      </c>
      <c r="B188" t="inlineStr">
        <is>
          <t>LEO Pharma Inc.</t>
        </is>
      </c>
      <c r="C188" t="inlineStr">
        <is>
          <t>Concluded with an LOI</t>
        </is>
      </c>
      <c r="D188" t="inlineStr">
        <is>
          <t>Psoriasis, moderate to severe plaque</t>
        </is>
      </c>
      <c r="E188" t="inlineStr">
        <is>
          <t>21044</t>
        </is>
      </c>
      <c r="F188" t="inlineStr">
        <is>
          <t>LEO Pharma Inc.</t>
        </is>
      </c>
      <c r="G188" t="inlineStr">
        <is>
          <t>Not Applicable</t>
        </is>
      </c>
      <c r="H188">
        <v>43230</v>
      </c>
      <c r="I188" s="3">
        <v>43339</v>
      </c>
    </row>
    <row r="189">
      <c r="A189" s="2">
        <f>HYPERLINK("https://www.pcpacanada.ca/negotiation/21043", "Opdivo  (nivolumab)")</f>
        <v>0</v>
      </c>
      <c r="B189" t="inlineStr">
        <is>
          <t>Bristol Myers Squibb Canada Inc.</t>
        </is>
      </c>
      <c r="C189" t="inlineStr">
        <is>
          <t>Concluded with an LOI</t>
        </is>
      </c>
      <c r="D189" t="inlineStr">
        <is>
          <t>Classic Hodgkin's Lymphoma</t>
        </is>
      </c>
      <c r="E189" t="inlineStr">
        <is>
          <t>21043</t>
        </is>
      </c>
      <c r="F189" t="inlineStr">
        <is>
          <t>Bristol Myers Squibb Canada Inc.</t>
        </is>
      </c>
      <c r="G189" t="inlineStr">
        <is>
          <t>pCODR 10120</t>
        </is>
      </c>
      <c r="H189">
        <v>43382</v>
      </c>
      <c r="I189" s="3">
        <v>43742</v>
      </c>
    </row>
    <row r="190">
      <c r="A190" s="2">
        <f>HYPERLINK("https://www.pcpacanada.ca/negotiation/21042", "Kisqali  (ribociclib)")</f>
        <v>0</v>
      </c>
      <c r="B190" t="inlineStr">
        <is>
          <t>Novartis Pharmaceuticals Canada Inc.</t>
        </is>
      </c>
      <c r="C190" t="inlineStr">
        <is>
          <t>Concluded with an LOI</t>
        </is>
      </c>
      <c r="D190" t="inlineStr">
        <is>
          <t>Advanced or Metastatic Breast Cancer</t>
        </is>
      </c>
      <c r="E190" t="inlineStr">
        <is>
          <t>21042</t>
        </is>
      </c>
      <c r="F190" t="inlineStr">
        <is>
          <t>Novartis Pharmaceuticals Canada Inc.</t>
        </is>
      </c>
      <c r="G190" t="inlineStr">
        <is>
          <t>pCODR 10112</t>
        </is>
      </c>
      <c r="H190">
        <v>43329</v>
      </c>
      <c r="I190" s="3">
        <v>43581</v>
      </c>
    </row>
    <row r="191">
      <c r="A191" s="2">
        <f>HYPERLINK("https://www.pcpacanada.ca/negotiation/21041", "Lartruvo  (olaratumab)")</f>
        <v>0</v>
      </c>
      <c r="B191" t="inlineStr">
        <is>
          <t>Eli Lilly Canada Inc.</t>
        </is>
      </c>
      <c r="C191" t="inlineStr">
        <is>
          <t>Concluded without agreement</t>
        </is>
      </c>
      <c r="D191" t="inlineStr">
        <is>
          <t>Advanced Soft Tissue Sarcoma</t>
        </is>
      </c>
      <c r="E191" t="inlineStr">
        <is>
          <t>21041</t>
        </is>
      </c>
      <c r="F191" t="inlineStr">
        <is>
          <t>Eli Lilly Canada Inc.</t>
        </is>
      </c>
      <c r="G191" t="inlineStr">
        <is>
          <t>pCODR 10111</t>
        </is>
      </c>
      <c r="H191">
        <v>43307</v>
      </c>
      <c r="I191" s="3">
        <v>43496</v>
      </c>
    </row>
    <row r="192">
      <c r="A192" s="2">
        <f>HYPERLINK("https://www.pcpacanada.ca/negotiation/21040", "Stivarga  (regorafenib)")</f>
        <v>0</v>
      </c>
      <c r="B192" t="inlineStr">
        <is>
          <t>Bayer Inc.</t>
        </is>
      </c>
      <c r="C192" t="inlineStr">
        <is>
          <t>Concluded with an LOI</t>
        </is>
      </c>
      <c r="D192" t="inlineStr">
        <is>
          <t>Unresectable Hepatocellular Carcinoma</t>
        </is>
      </c>
      <c r="E192" t="inlineStr">
        <is>
          <t>21040</t>
        </is>
      </c>
      <c r="F192" t="inlineStr">
        <is>
          <t>Bayer Inc.</t>
        </is>
      </c>
      <c r="G192" t="inlineStr">
        <is>
          <t>pCODR 10119</t>
        </is>
      </c>
      <c r="H192">
        <v>43353</v>
      </c>
      <c r="I192" s="3">
        <v>43531</v>
      </c>
    </row>
    <row r="193">
      <c r="A193" s="2">
        <f>HYPERLINK("https://www.pcpacanada.ca/negotiation/21039", "Alecensaro  (alectinib)")</f>
        <v>0</v>
      </c>
      <c r="B193" t="inlineStr">
        <is>
          <t>Hoffmann-La Roche</t>
        </is>
      </c>
      <c r="C193" t="inlineStr">
        <is>
          <t>Concluded with an LOI</t>
        </is>
      </c>
      <c r="D193" t="inlineStr">
        <is>
          <t>Locally advanced or metastatic non-small cell lung cancer</t>
        </is>
      </c>
      <c r="E193" t="inlineStr">
        <is>
          <t>21039</t>
        </is>
      </c>
      <c r="F193" t="inlineStr">
        <is>
          <t>Hoffmann-La Roche</t>
        </is>
      </c>
      <c r="G193" t="inlineStr">
        <is>
          <t>pCODR 10114</t>
        </is>
      </c>
      <c r="H193">
        <v>43350</v>
      </c>
      <c r="I193" s="3">
        <v>43445</v>
      </c>
    </row>
    <row r="194">
      <c r="A194" s="2">
        <f>HYPERLINK("https://www.pcpacanada.ca/negotiation/21038", "Vectibix  (panitumumab)")</f>
        <v>0</v>
      </c>
      <c r="B194" t="inlineStr">
        <is>
          <t>Amgen Canada Inc.</t>
        </is>
      </c>
      <c r="C194" t="inlineStr">
        <is>
          <t>Negotiations were not pursued</t>
        </is>
      </c>
      <c r="D194" t="inlineStr">
        <is>
          <t>Left Sided Metastatic Colorectal Cancer</t>
        </is>
      </c>
      <c r="E194" t="inlineStr">
        <is>
          <t>21038</t>
        </is>
      </c>
      <c r="F194" t="inlineStr">
        <is>
          <t>Amgen Canada Inc.</t>
        </is>
      </c>
      <c r="G194" t="inlineStr">
        <is>
          <t>pCODR 10118</t>
        </is>
      </c>
      <c r="H194" t="inlineStr">
        <is>
          <t>Not Applicable</t>
        </is>
      </c>
      <c r="I194" s="3">
        <v>43230</v>
      </c>
    </row>
    <row r="195">
      <c r="A195" s="2">
        <f>HYPERLINK("https://www.pcpacanada.ca/negotiation/21037", "Bavencio  (avelumab)")</f>
        <v>0</v>
      </c>
      <c r="B195" t="inlineStr">
        <is>
          <t>EMD Serono a Division of EMD Inc. Canada</t>
        </is>
      </c>
      <c r="C195" t="inlineStr">
        <is>
          <t>Concluded with an LOI</t>
        </is>
      </c>
      <c r="D195" t="inlineStr">
        <is>
          <t>Metastatic Merkel Cell Carcinoma</t>
        </is>
      </c>
      <c r="E195" t="inlineStr">
        <is>
          <t>21037</t>
        </is>
      </c>
      <c r="F195" t="inlineStr">
        <is>
          <t>EMD Serono a Division of EMD Inc. Canada</t>
        </is>
      </c>
      <c r="G195" t="inlineStr">
        <is>
          <t>pCODR 10124</t>
        </is>
      </c>
      <c r="H195">
        <v>43297</v>
      </c>
      <c r="I195" s="3">
        <v>43482</v>
      </c>
    </row>
    <row r="196">
      <c r="A196" s="2">
        <f>HYPERLINK("https://www.pcpacanada.ca/negotiation/21036", "Keytruda  (pembrolizumab)")</f>
        <v>0</v>
      </c>
      <c r="B196" t="inlineStr">
        <is>
          <t>Merck Canada Inc.</t>
        </is>
      </c>
      <c r="C196" t="inlineStr">
        <is>
          <t>Concluded with an LOI</t>
        </is>
      </c>
      <c r="D196" t="inlineStr">
        <is>
          <t>Metastatic Urothelial Carcinoma</t>
        </is>
      </c>
      <c r="E196" t="inlineStr">
        <is>
          <t>21036</t>
        </is>
      </c>
      <c r="F196" t="inlineStr">
        <is>
          <t>Merck Canada Inc.</t>
        </is>
      </c>
      <c r="G196" t="inlineStr">
        <is>
          <t>pCODR 10117</t>
        </is>
      </c>
      <c r="H196">
        <v>43339</v>
      </c>
      <c r="I196" s="3">
        <v>43936</v>
      </c>
    </row>
    <row r="197">
      <c r="A197" s="2">
        <f>HYPERLINK("https://www.pcpacanada.ca/negotiation/21035", "Venclexta  (venetoclax)")</f>
        <v>0</v>
      </c>
      <c r="B197" t="inlineStr">
        <is>
          <t>AbbVie Corporation</t>
        </is>
      </c>
      <c r="C197" t="inlineStr">
        <is>
          <t>Concluded with an LOI</t>
        </is>
      </c>
      <c r="D197" t="inlineStr">
        <is>
          <t>Chronic Lymphocytic Leukemia</t>
        </is>
      </c>
      <c r="E197" t="inlineStr">
        <is>
          <t>21035</t>
        </is>
      </c>
      <c r="F197" t="inlineStr">
        <is>
          <t>AbbVie Corporation</t>
        </is>
      </c>
      <c r="G197" t="inlineStr">
        <is>
          <t>pCODR 10105</t>
        </is>
      </c>
      <c r="H197">
        <v>43272</v>
      </c>
      <c r="I197" s="3">
        <v>43530</v>
      </c>
    </row>
    <row r="198">
      <c r="A198" s="2">
        <f>HYPERLINK("https://www.pcpacanada.ca/negotiation/21034", "Adcetris  (brentuximab vedotin)")</f>
        <v>0</v>
      </c>
      <c r="B198" t="inlineStr">
        <is>
          <t>Seattle Genetics Inc.</t>
        </is>
      </c>
      <c r="C198" t="inlineStr">
        <is>
          <t>Concluded with an LOI</t>
        </is>
      </c>
      <c r="D198" t="inlineStr">
        <is>
          <t>Hodgkin's Lymphoma</t>
        </is>
      </c>
      <c r="E198" t="inlineStr">
        <is>
          <t>21034</t>
        </is>
      </c>
      <c r="F198" t="inlineStr">
        <is>
          <t>Seattle Genetics Inc.</t>
        </is>
      </c>
      <c r="G198" t="inlineStr">
        <is>
          <t>pCODR 10116</t>
        </is>
      </c>
      <c r="H198">
        <v>43273</v>
      </c>
      <c r="I198" s="3">
        <v>43537</v>
      </c>
    </row>
    <row r="199">
      <c r="A199" s="2">
        <f>HYPERLINK("https://www.pcpacanada.ca/negotiation/21033", "Ocrevus  (ocrelizumab)")</f>
        <v>0</v>
      </c>
      <c r="B199" t="inlineStr">
        <is>
          <t>Hoffmann-La Roche</t>
        </is>
      </c>
      <c r="C199" t="inlineStr">
        <is>
          <t>Concluded with an LOI</t>
        </is>
      </c>
      <c r="D199" t="inlineStr">
        <is>
          <t>Primary Progressive Multiple Sclerosis</t>
        </is>
      </c>
      <c r="E199" t="inlineStr">
        <is>
          <t>21033</t>
        </is>
      </c>
      <c r="F199" t="inlineStr">
        <is>
          <t>Hoffmann-La Roche</t>
        </is>
      </c>
      <c r="G199" t="inlineStr">
        <is>
          <t>SR0542-000</t>
        </is>
      </c>
      <c r="H199">
        <v>43300</v>
      </c>
      <c r="I199" s="3">
        <v>43509</v>
      </c>
    </row>
    <row r="200">
      <c r="A200" s="2">
        <f>HYPERLINK("https://www.pcpacanada.ca/negotiation/21032", "MDK-Nitisinone  (nitisinone)")</f>
        <v>0</v>
      </c>
      <c r="B200" t="inlineStr">
        <is>
          <t>MendeliKABS Inc</t>
        </is>
      </c>
      <c r="C200" t="inlineStr">
        <is>
          <t>Concluded with an LOI</t>
        </is>
      </c>
      <c r="D200" t="inlineStr">
        <is>
          <t>Hereditary Tyrosinemia Type 1</t>
        </is>
      </c>
      <c r="E200" t="inlineStr">
        <is>
          <t>21032</t>
        </is>
      </c>
      <c r="F200" t="inlineStr">
        <is>
          <t>MendeliKABS Inc</t>
        </is>
      </c>
      <c r="G200" t="inlineStr">
        <is>
          <t>SR0538-000</t>
        </is>
      </c>
      <c r="H200">
        <v>43332</v>
      </c>
      <c r="I200" s="3">
        <v>43432</v>
      </c>
    </row>
    <row r="201">
      <c r="A201" s="2">
        <f>HYPERLINK("https://www.pcpacanada.ca/negotiation/21031", "Monoprost  (latanoprost)")</f>
        <v>0</v>
      </c>
      <c r="B201" t="inlineStr">
        <is>
          <t>Laboratoires Thea</t>
        </is>
      </c>
      <c r="C201" t="inlineStr">
        <is>
          <t>Concluded without agreement</t>
        </is>
      </c>
      <c r="D201" t="inlineStr">
        <is>
          <t>Glaucoma and Ocular Hypertension</t>
        </is>
      </c>
      <c r="E201" t="inlineStr">
        <is>
          <t>21031</t>
        </is>
      </c>
      <c r="F201" t="inlineStr">
        <is>
          <t>Laboratoires Thea</t>
        </is>
      </c>
      <c r="G201" t="inlineStr">
        <is>
          <t>SR0541-000</t>
        </is>
      </c>
      <c r="H201">
        <v>43371</v>
      </c>
      <c r="I201" s="3">
        <v>43705</v>
      </c>
    </row>
    <row r="202">
      <c r="A202" s="2">
        <f>HYPERLINK("https://www.pcpacanada.ca/negotiation/21030", "Actemra  (tocilizumab)")</f>
        <v>0</v>
      </c>
      <c r="B202" t="inlineStr">
        <is>
          <t>Hoffmann-La Roche</t>
        </is>
      </c>
      <c r="C202" t="inlineStr">
        <is>
          <t>Concluded with an LOI</t>
        </is>
      </c>
      <c r="D202" t="inlineStr">
        <is>
          <t>Giant Cell Arteritis</t>
        </is>
      </c>
      <c r="E202" t="inlineStr">
        <is>
          <t>21030</t>
        </is>
      </c>
      <c r="F202" t="inlineStr">
        <is>
          <t>Hoffmann-La Roche</t>
        </is>
      </c>
      <c r="G202" t="inlineStr">
        <is>
          <t>SR0534-000</t>
        </is>
      </c>
      <c r="H202">
        <v>43307</v>
      </c>
      <c r="I202" s="3">
        <v>43440</v>
      </c>
    </row>
    <row r="203">
      <c r="A203" s="2">
        <f>HYPERLINK("https://www.pcpacanada.ca/negotiation/21029", "Vemlidy  (tenofovir alafenamide)")</f>
        <v>0</v>
      </c>
      <c r="B203" t="inlineStr">
        <is>
          <t>Gilead Sciences Canada Inc.</t>
        </is>
      </c>
      <c r="C203" t="inlineStr">
        <is>
          <t>Concluded without agreement</t>
        </is>
      </c>
      <c r="D203" t="inlineStr">
        <is>
          <t>Hepatitis B</t>
        </is>
      </c>
      <c r="E203" t="inlineStr">
        <is>
          <t>21029</t>
        </is>
      </c>
      <c r="F203" t="inlineStr">
        <is>
          <t>Gilead Sciences Canada Inc.</t>
        </is>
      </c>
      <c r="G203" t="inlineStr">
        <is>
          <t>SR0537-000</t>
        </is>
      </c>
      <c r="H203">
        <v>43368</v>
      </c>
      <c r="I203" s="3">
        <v>43404</v>
      </c>
    </row>
    <row r="204">
      <c r="A204" s="2">
        <f>HYPERLINK("https://www.pcpacanada.ca/negotiation/21028", "Ilaris  (canakinumab)")</f>
        <v>0</v>
      </c>
      <c r="B204" t="inlineStr">
        <is>
          <t>Novartis Pharmaceuticals Canada Inc.</t>
        </is>
      </c>
      <c r="C204" t="inlineStr">
        <is>
          <t>Concluded with an LOI</t>
        </is>
      </c>
      <c r="D204" t="inlineStr">
        <is>
          <t>Systemic juvenile idiopathic arthritis</t>
        </is>
      </c>
      <c r="E204" t="inlineStr">
        <is>
          <t>21028</t>
        </is>
      </c>
      <c r="F204" t="inlineStr">
        <is>
          <t>Novartis Pharmaceuticals Canada Inc.</t>
        </is>
      </c>
      <c r="G204" t="inlineStr">
        <is>
          <t>Not Applicable</t>
        </is>
      </c>
      <c r="H204">
        <v>43217</v>
      </c>
      <c r="I204" s="3">
        <v>43423</v>
      </c>
    </row>
    <row r="205">
      <c r="A205" s="2">
        <f>HYPERLINK("https://www.pcpacanada.ca/negotiation/21027", "Renflexis  (infliximab)")</f>
        <v>0</v>
      </c>
      <c r="B205" t="inlineStr">
        <is>
          <t>Merck Canada Inc.</t>
        </is>
      </c>
      <c r="C205" t="inlineStr">
        <is>
          <t>Concluded with an LOI</t>
        </is>
      </c>
      <c r="D205" t="inlineStr">
        <is>
          <t>Rheumatic Conditions</t>
        </is>
      </c>
      <c r="E205" t="inlineStr">
        <is>
          <t>21027</t>
        </is>
      </c>
      <c r="F205" t="inlineStr">
        <is>
          <t>Merck Canada Inc.</t>
        </is>
      </c>
      <c r="G205" t="inlineStr">
        <is>
          <t>SE0532-000</t>
        </is>
      </c>
      <c r="H205">
        <v>43203</v>
      </c>
      <c r="I205" s="3">
        <v>43308</v>
      </c>
    </row>
    <row r="206">
      <c r="A206" s="2">
        <f>HYPERLINK("https://www.pcpacanada.ca/negotiation/21026", "Izba  (travoprost)")</f>
        <v>0</v>
      </c>
      <c r="B206" t="inlineStr">
        <is>
          <t>Novartis Pharmaceuticals Canada Inc.</t>
        </is>
      </c>
      <c r="C206" t="inlineStr">
        <is>
          <t>Concluded with an LOI</t>
        </is>
      </c>
      <c r="D206" t="inlineStr">
        <is>
          <t>Open-angle Glaucoma</t>
        </is>
      </c>
      <c r="E206" t="inlineStr">
        <is>
          <t>21026</t>
        </is>
      </c>
      <c r="F206" t="inlineStr">
        <is>
          <t>Novartis Pharmaceuticals Canada Inc.</t>
        </is>
      </c>
      <c r="G206" t="inlineStr">
        <is>
          <t>SR0516-000</t>
        </is>
      </c>
      <c r="H206">
        <v>43202</v>
      </c>
      <c r="I206" s="3">
        <v>43440</v>
      </c>
    </row>
    <row r="207">
      <c r="A207" s="2">
        <f>HYPERLINK("https://www.pcpacanada.ca/negotiation/21025", "Rexulti  (brexpiprazole)")</f>
        <v>0</v>
      </c>
      <c r="B207" t="inlineStr">
        <is>
          <t>Otsuka Canada Pharmaceuticals</t>
        </is>
      </c>
      <c r="C207" t="inlineStr">
        <is>
          <t>Concluded with an LOI</t>
        </is>
      </c>
      <c r="D207" t="inlineStr">
        <is>
          <t>Schizophrenia</t>
        </is>
      </c>
      <c r="E207" t="inlineStr">
        <is>
          <t>21025</t>
        </is>
      </c>
      <c r="F207" t="inlineStr">
        <is>
          <t>Otsuka Canada Pharmaceuticals</t>
        </is>
      </c>
      <c r="G207" t="inlineStr">
        <is>
          <t>SR0514-000</t>
        </is>
      </c>
      <c r="H207">
        <v>43194</v>
      </c>
      <c r="I207" s="3">
        <v>43448</v>
      </c>
    </row>
    <row r="208">
      <c r="A208" s="2">
        <f>HYPERLINK("https://www.pcpacanada.ca/negotiation/21024", "Galafold  (migalastat)")</f>
        <v>0</v>
      </c>
      <c r="B208" t="inlineStr">
        <is>
          <t>Amicus Therapeutics</t>
        </is>
      </c>
      <c r="C208" t="inlineStr">
        <is>
          <t>Concluded with an LOI</t>
        </is>
      </c>
      <c r="D208" t="inlineStr">
        <is>
          <t>Fabry's Disease</t>
        </is>
      </c>
      <c r="E208" t="inlineStr">
        <is>
          <t>21024</t>
        </is>
      </c>
      <c r="F208" t="inlineStr">
        <is>
          <t>Amicus Therapeutics</t>
        </is>
      </c>
      <c r="G208" t="inlineStr">
        <is>
          <t>SR0522-000</t>
        </is>
      </c>
      <c r="H208">
        <v>43187</v>
      </c>
      <c r="I208" s="3">
        <v>43340</v>
      </c>
    </row>
    <row r="209">
      <c r="A209" s="2">
        <f>HYPERLINK("https://www.pcpacanada.ca/negotiation/21023", "Fiasp  (insulin aspart)")</f>
        <v>0</v>
      </c>
      <c r="B209" t="inlineStr">
        <is>
          <t>Novo Nordisk Canada Inc.</t>
        </is>
      </c>
      <c r="C209" t="inlineStr">
        <is>
          <t>Concluded without agreement</t>
        </is>
      </c>
      <c r="D209" t="inlineStr">
        <is>
          <t>Diabetes Mellitus, Type 1 &amp; 2</t>
        </is>
      </c>
      <c r="E209" t="inlineStr">
        <is>
          <t>21023</t>
        </is>
      </c>
      <c r="F209" t="inlineStr">
        <is>
          <t>Novo Nordisk Canada Inc.</t>
        </is>
      </c>
      <c r="G209" t="inlineStr">
        <is>
          <t>Not Applicable</t>
        </is>
      </c>
      <c r="H209">
        <v>43175</v>
      </c>
      <c r="I209" s="3">
        <v>43495</v>
      </c>
    </row>
    <row r="210">
      <c r="A210" s="2">
        <f>HYPERLINK("https://www.pcpacanada.ca/negotiation/21022", "Pomalyst  (pomalidomide)")</f>
        <v>0</v>
      </c>
      <c r="B210" t="inlineStr">
        <is>
          <t>Celgene Inc.</t>
        </is>
      </c>
      <c r="C210" t="inlineStr">
        <is>
          <t>Concluded with an LOI</t>
        </is>
      </c>
      <c r="D210" t="inlineStr">
        <is>
          <t>Multiple Myeloma</t>
        </is>
      </c>
      <c r="E210" t="inlineStr">
        <is>
          <t>21022</t>
        </is>
      </c>
      <c r="F210" t="inlineStr">
        <is>
          <t>Celgene Inc.</t>
        </is>
      </c>
      <c r="G210" t="inlineStr">
        <is>
          <t>Not Applicable</t>
        </is>
      </c>
      <c r="H210">
        <v>43168</v>
      </c>
      <c r="I210" s="3">
        <v>43306</v>
      </c>
    </row>
    <row r="211">
      <c r="A211" s="2">
        <f>HYPERLINK("https://www.pcpacanada.ca/negotiation/21021", "Mictoryl Pediatric  (propiverine hydrochloride)")</f>
        <v>0</v>
      </c>
      <c r="B211" t="inlineStr">
        <is>
          <t>Duchesnay Inc.</t>
        </is>
      </c>
      <c r="C211" t="inlineStr">
        <is>
          <t>Concluded with an LOI</t>
        </is>
      </c>
      <c r="D211" t="inlineStr">
        <is>
          <t>Overactive bladder</t>
        </is>
      </c>
      <c r="E211" t="inlineStr">
        <is>
          <t>21021</t>
        </is>
      </c>
      <c r="F211" t="inlineStr">
        <is>
          <t>Duchesnay Inc.</t>
        </is>
      </c>
      <c r="G211" t="inlineStr">
        <is>
          <t>SR0504</t>
        </is>
      </c>
      <c r="H211">
        <v>42977</v>
      </c>
      <c r="I211" s="3">
        <v>43143</v>
      </c>
    </row>
    <row r="212">
      <c r="A212" s="2">
        <f>HYPERLINK("https://www.pcpacanada.ca/negotiation/21020", "Jevtana  (cabazitaxel)")</f>
        <v>0</v>
      </c>
      <c r="B212" t="inlineStr">
        <is>
          <t>Sanofi-aventis Canada Inc.</t>
        </is>
      </c>
      <c r="C212" t="inlineStr">
        <is>
          <t>Concluded with an LOI</t>
        </is>
      </c>
      <c r="D212" t="inlineStr">
        <is>
          <t>Castrate resistant metastatic prostate cancer</t>
        </is>
      </c>
      <c r="E212" t="inlineStr">
        <is>
          <t>21020</t>
        </is>
      </c>
      <c r="F212" t="inlineStr">
        <is>
          <t>Sanofi-aventis Canada Inc.</t>
        </is>
      </c>
      <c r="G212" t="inlineStr">
        <is>
          <t>Not Applicable</t>
        </is>
      </c>
      <c r="H212">
        <v>43159</v>
      </c>
      <c r="I212" s="3">
        <v>43411</v>
      </c>
    </row>
    <row r="213">
      <c r="A213" s="2">
        <f>HYPERLINK("https://www.pcpacanada.ca/negotiation/21019", "Rosiver  (ivermectin)")</f>
        <v>0</v>
      </c>
      <c r="B213" t="inlineStr">
        <is>
          <t>Galderma Canada Inc.</t>
        </is>
      </c>
      <c r="C213" t="inlineStr">
        <is>
          <t>Concluded without agreement</t>
        </is>
      </c>
      <c r="D213" t="inlineStr">
        <is>
          <t>Rosacea</t>
        </is>
      </c>
      <c r="E213" t="inlineStr">
        <is>
          <t>21019</t>
        </is>
      </c>
      <c r="F213" t="inlineStr">
        <is>
          <t>Galderma Canada Inc.</t>
        </is>
      </c>
      <c r="G213" t="inlineStr">
        <is>
          <t>Not Applicable</t>
        </is>
      </c>
      <c r="H213">
        <v>43154</v>
      </c>
      <c r="I213" s="3">
        <v>43243</v>
      </c>
    </row>
    <row r="214">
      <c r="A214" s="2">
        <f>HYPERLINK("https://www.pcpacanada.ca/negotiation/21018", "Rydapt  (midostaurin)")</f>
        <v>0</v>
      </c>
      <c r="B214" t="inlineStr">
        <is>
          <t>Novartis Pharmaceuticals Canada Inc.</t>
        </is>
      </c>
      <c r="C214" t="inlineStr">
        <is>
          <t>Concluded with an LOI</t>
        </is>
      </c>
      <c r="D214" t="inlineStr">
        <is>
          <t>Acute Myeloid Leukemia</t>
        </is>
      </c>
      <c r="E214" t="inlineStr">
        <is>
          <t>21018</t>
        </is>
      </c>
      <c r="F214" t="inlineStr">
        <is>
          <t>Novartis Pharmaceuticals Canada Inc.</t>
        </is>
      </c>
      <c r="G214" t="inlineStr">
        <is>
          <t>pCODR 10108</t>
        </is>
      </c>
      <c r="H214">
        <v>43133</v>
      </c>
      <c r="I214" s="3">
        <v>43286</v>
      </c>
    </row>
    <row r="215">
      <c r="A215" s="2">
        <f>HYPERLINK("https://www.pcpacanada.ca/negotiation/21017", "Lynparza  (olaparib)")</f>
        <v>0</v>
      </c>
      <c r="B215" t="inlineStr">
        <is>
          <t>AstraZeneca Canada Inc.</t>
        </is>
      </c>
      <c r="C215" t="inlineStr">
        <is>
          <t>Concluded with an LOI</t>
        </is>
      </c>
      <c r="D215" t="inlineStr">
        <is>
          <t>Ovarian Cancer</t>
        </is>
      </c>
      <c r="E215" t="inlineStr">
        <is>
          <t>21017</t>
        </is>
      </c>
      <c r="F215" t="inlineStr">
        <is>
          <t>AstraZeneca Canada Inc.</t>
        </is>
      </c>
      <c r="G215" t="inlineStr">
        <is>
          <t>pCODR 10103</t>
        </is>
      </c>
      <c r="H215">
        <v>43018</v>
      </c>
      <c r="I215" s="3">
        <v>43235</v>
      </c>
    </row>
    <row r="216">
      <c r="A216" s="2">
        <f>HYPERLINK("https://www.pcpacanada.ca/negotiation/21016", "Tagrisso  (osimertinib)")</f>
        <v>0</v>
      </c>
      <c r="B216" t="inlineStr">
        <is>
          <t>AstraZeneca Canada Inc.</t>
        </is>
      </c>
      <c r="C216" t="inlineStr">
        <is>
          <t>Concluded with an LOI</t>
        </is>
      </c>
      <c r="D216" t="inlineStr">
        <is>
          <t>Non-Squamous Non-Small Cell Lung Cancer</t>
        </is>
      </c>
      <c r="E216" t="inlineStr">
        <is>
          <t>21016</t>
        </is>
      </c>
      <c r="F216" t="inlineStr">
        <is>
          <t>AstraZeneca Canada Inc.</t>
        </is>
      </c>
      <c r="G216" t="inlineStr">
        <is>
          <t>pCODR 10076</t>
        </is>
      </c>
      <c r="H216">
        <v>43007</v>
      </c>
      <c r="I216" s="3">
        <v>43311</v>
      </c>
    </row>
    <row r="217">
      <c r="A217" s="2">
        <f>HYPERLINK("https://www.pcpacanada.ca/negotiation/21015", "Gazyva  (obinutuzumab)")</f>
        <v>0</v>
      </c>
      <c r="B217" t="inlineStr">
        <is>
          <t>Hoffmann-La Roche</t>
        </is>
      </c>
      <c r="C217" t="inlineStr">
        <is>
          <t>Concluded with an LOI</t>
        </is>
      </c>
      <c r="D217" t="inlineStr">
        <is>
          <t>Follicular Lymphoma</t>
        </is>
      </c>
      <c r="E217" t="inlineStr">
        <is>
          <t>21015</t>
        </is>
      </c>
      <c r="F217" t="inlineStr">
        <is>
          <t>Hoffmann-La Roche</t>
        </is>
      </c>
      <c r="G217" t="inlineStr">
        <is>
          <t>pCODR 10091</t>
        </is>
      </c>
      <c r="H217">
        <v>43018</v>
      </c>
      <c r="I217" s="3">
        <v>43108</v>
      </c>
    </row>
    <row r="218">
      <c r="A218" s="2">
        <f>HYPERLINK("https://www.pcpacanada.ca/negotiation/21014", "Orfadin  (nitisinone)")</f>
        <v>0</v>
      </c>
      <c r="B218" t="inlineStr">
        <is>
          <t>Sobi Canada Inc.</t>
        </is>
      </c>
      <c r="C218" t="inlineStr">
        <is>
          <t>Concluded with an LOI</t>
        </is>
      </c>
      <c r="D218" t="inlineStr">
        <is>
          <t>Hereditary Tyrosinemia Type 1</t>
        </is>
      </c>
      <c r="E218" t="inlineStr">
        <is>
          <t>21014</t>
        </is>
      </c>
      <c r="F218" t="inlineStr">
        <is>
          <t>Sobi Canada Inc.</t>
        </is>
      </c>
      <c r="G218" t="inlineStr">
        <is>
          <t>SR0531-000</t>
        </is>
      </c>
      <c r="H218">
        <v>43332</v>
      </c>
      <c r="I218" s="3">
        <v>43432</v>
      </c>
    </row>
    <row r="219">
      <c r="A219" s="2">
        <f>HYPERLINK("https://www.pcpacanada.ca/negotiation/21013", "Tremfya  (guselkumab)")</f>
        <v>0</v>
      </c>
      <c r="B219" t="inlineStr">
        <is>
          <t>Janssen Inc.</t>
        </is>
      </c>
      <c r="C219" t="inlineStr">
        <is>
          <t>Concluded without agreement</t>
        </is>
      </c>
      <c r="D219" t="inlineStr">
        <is>
          <t>Psoriasis, moderate to severe plaque</t>
        </is>
      </c>
      <c r="E219" t="inlineStr">
        <is>
          <t>21013</t>
        </is>
      </c>
      <c r="F219" t="inlineStr">
        <is>
          <t>Janssen Inc.</t>
        </is>
      </c>
      <c r="G219" t="inlineStr">
        <is>
          <t>SR0530-000</t>
        </is>
      </c>
      <c r="H219">
        <v>43403</v>
      </c>
      <c r="I219" s="3">
        <v>43637</v>
      </c>
    </row>
    <row r="220">
      <c r="A220" s="2">
        <f>HYPERLINK("https://www.pcpacanada.ca/negotiation/21012", "Procysbi  (cysteamine bitartrate)")</f>
        <v>0</v>
      </c>
      <c r="B220" t="inlineStr">
        <is>
          <t>Horizon Therapeutics Ireland DAC</t>
        </is>
      </c>
      <c r="C220" t="inlineStr">
        <is>
          <t>Concluded with an LOI</t>
        </is>
      </c>
      <c r="D220" t="inlineStr">
        <is>
          <t>Nephropathic cystinosis</t>
        </is>
      </c>
      <c r="E220" t="inlineStr">
        <is>
          <t>21012</t>
        </is>
      </c>
      <c r="F220" t="inlineStr">
        <is>
          <t>Horizon Therapeutics Ireland DAC</t>
        </is>
      </c>
      <c r="G220" t="inlineStr">
        <is>
          <t>SR0526-000</t>
        </is>
      </c>
      <c r="H220">
        <v>43140</v>
      </c>
      <c r="I220" s="3">
        <v>43301</v>
      </c>
    </row>
    <row r="221">
      <c r="A221" s="2">
        <f>HYPERLINK("https://www.pcpacanada.ca/negotiation/21011", "Maviret  (glecaprevir/pibrentasvir)")</f>
        <v>0</v>
      </c>
      <c r="B221" t="inlineStr">
        <is>
          <t>AbbVie Corporation</t>
        </is>
      </c>
      <c r="C221" t="inlineStr">
        <is>
          <t>Concluded with an LOI</t>
        </is>
      </c>
      <c r="D221" t="inlineStr">
        <is>
          <t>Chronic Hepatitis C</t>
        </is>
      </c>
      <c r="E221" t="inlineStr">
        <is>
          <t>21011</t>
        </is>
      </c>
      <c r="F221" t="inlineStr">
        <is>
          <t>AbbVie Corporation</t>
        </is>
      </c>
      <c r="G221" t="inlineStr">
        <is>
          <t>SR0523-000</t>
        </is>
      </c>
      <c r="H221">
        <v>43280</v>
      </c>
      <c r="I221" s="3">
        <v>43453</v>
      </c>
    </row>
    <row r="222">
      <c r="A222" s="2">
        <f>HYPERLINK("https://www.pcpacanada.ca/negotiation/21010", "Movapo  (apomorphine hydrochloride)")</f>
        <v>0</v>
      </c>
      <c r="B222" t="inlineStr">
        <is>
          <t>Paladin Labs Inc.</t>
        </is>
      </c>
      <c r="C222" t="inlineStr">
        <is>
          <t>Concluded with an LOI</t>
        </is>
      </c>
      <c r="D222" t="inlineStr">
        <is>
          <t>Parkinson's Disease</t>
        </is>
      </c>
      <c r="E222" t="inlineStr">
        <is>
          <t>21010</t>
        </is>
      </c>
      <c r="F222" t="inlineStr">
        <is>
          <t>Paladin Labs Inc.</t>
        </is>
      </c>
      <c r="G222" t="inlineStr">
        <is>
          <t>SR0527-000</t>
        </is>
      </c>
      <c r="H222">
        <v>43280</v>
      </c>
      <c r="I222" s="3">
        <v>43551</v>
      </c>
    </row>
    <row r="223">
      <c r="A223" s="2">
        <f>HYPERLINK("https://www.pcpacanada.ca/negotiation/21009", "Vosevi  (sofosbuvir/velpatasvir/voxilaprevir)")</f>
        <v>0</v>
      </c>
      <c r="B223" t="inlineStr">
        <is>
          <t>Gilead Sciences Canada Inc.</t>
        </is>
      </c>
      <c r="C223" t="inlineStr">
        <is>
          <t>Concluded with an LOI</t>
        </is>
      </c>
      <c r="D223" t="inlineStr">
        <is>
          <t>Chronic Hepatitis C</t>
        </is>
      </c>
      <c r="E223" t="inlineStr">
        <is>
          <t>21009</t>
        </is>
      </c>
      <c r="F223" t="inlineStr">
        <is>
          <t>Gilead Sciences Canada Inc.</t>
        </is>
      </c>
      <c r="G223" t="inlineStr">
        <is>
          <t>SR0529-000</t>
        </is>
      </c>
      <c r="H223">
        <v>43145</v>
      </c>
      <c r="I223" s="3">
        <v>43145</v>
      </c>
    </row>
    <row r="224">
      <c r="A224" s="2">
        <f>HYPERLINK("https://www.pcpacanada.ca/negotiation/21008", "Spinraza  (nusinersen)")</f>
        <v>0</v>
      </c>
      <c r="B224" t="inlineStr">
        <is>
          <t>Biogen Canada Inc.</t>
        </is>
      </c>
      <c r="C224" t="inlineStr">
        <is>
          <t>Concluded with an LOI</t>
        </is>
      </c>
      <c r="D224" t="inlineStr">
        <is>
          <t>Spinal Muscular Atrophy</t>
        </is>
      </c>
      <c r="E224" t="inlineStr">
        <is>
          <t>21008</t>
        </is>
      </c>
      <c r="F224" t="inlineStr">
        <is>
          <t>Biogen Canada Inc.</t>
        </is>
      </c>
      <c r="G224" t="inlineStr">
        <is>
          <t>SR0525-000</t>
        </is>
      </c>
      <c r="H224">
        <v>43129</v>
      </c>
      <c r="I224" s="3">
        <v>43369</v>
      </c>
    </row>
    <row r="225">
      <c r="A225" s="2">
        <f>HYPERLINK("https://www.pcpacanada.ca/negotiation/21007", "Zykadia  (ceritinib)")</f>
        <v>0</v>
      </c>
      <c r="B225" t="inlineStr">
        <is>
          <t>Novartis Pharmaceuticals Canada Inc.</t>
        </is>
      </c>
      <c r="C225" t="inlineStr">
        <is>
          <t>Concluded with an LOI</t>
        </is>
      </c>
      <c r="D225" t="inlineStr">
        <is>
          <t>Non-Squamous Non-Small Cell Lung Cancer</t>
        </is>
      </c>
      <c r="E225" t="inlineStr">
        <is>
          <t>21007</t>
        </is>
      </c>
      <c r="F225" t="inlineStr">
        <is>
          <t>Novartis Pharmaceuticals Canada Inc.</t>
        </is>
      </c>
      <c r="G225" t="inlineStr">
        <is>
          <t>pCODR 10094</t>
        </is>
      </c>
      <c r="H225">
        <v>42929</v>
      </c>
      <c r="I225" s="3">
        <v>43179</v>
      </c>
    </row>
    <row r="226">
      <c r="A226" s="2">
        <f>HYPERLINK("https://www.pcpacanada.ca/negotiation/21006", "Viacoram  (perindopril arginine/amlodipine)")</f>
        <v>0</v>
      </c>
      <c r="B226" t="inlineStr">
        <is>
          <t>Servier Canada Inc.</t>
        </is>
      </c>
      <c r="C226" t="inlineStr">
        <is>
          <t>Concluded without agreement</t>
        </is>
      </c>
      <c r="D226" t="inlineStr">
        <is>
          <t>Hypertension</t>
        </is>
      </c>
      <c r="E226" t="inlineStr">
        <is>
          <t>21006</t>
        </is>
      </c>
      <c r="F226" t="inlineStr">
        <is>
          <t>Servier Canada Inc.</t>
        </is>
      </c>
      <c r="G226" t="inlineStr">
        <is>
          <t>Not Applicable</t>
        </is>
      </c>
      <c r="H226">
        <v>43209</v>
      </c>
      <c r="I226" s="3">
        <v>43607</v>
      </c>
    </row>
    <row r="227">
      <c r="A227" s="2">
        <f>HYPERLINK("https://www.pcpacanada.ca/negotiation/21005", "Adlyxine  (lixisenatide)")</f>
        <v>0</v>
      </c>
      <c r="B227" t="inlineStr">
        <is>
          <t>Sanofi-aventis Canada Inc.</t>
        </is>
      </c>
      <c r="C227" t="inlineStr">
        <is>
          <t>Concluded with an LOI</t>
        </is>
      </c>
      <c r="D227" t="inlineStr">
        <is>
          <t>Diabetes Mellitus, Type 2</t>
        </is>
      </c>
      <c r="E227" t="inlineStr">
        <is>
          <t>21005</t>
        </is>
      </c>
      <c r="F227" t="inlineStr">
        <is>
          <t>Sanofi-aventis Canada Inc.</t>
        </is>
      </c>
      <c r="G227" t="inlineStr">
        <is>
          <t>SR0520-000</t>
        </is>
      </c>
      <c r="H227">
        <v>43217</v>
      </c>
      <c r="I227" s="3">
        <v>43790</v>
      </c>
    </row>
    <row r="228">
      <c r="A228" s="2">
        <f>HYPERLINK("https://www.pcpacanada.ca/negotiation/21004", "Repatha  (evolocumab)")</f>
        <v>0</v>
      </c>
      <c r="B228" t="inlineStr">
        <is>
          <t>Amgen Canada Inc.</t>
        </is>
      </c>
      <c r="C228" t="inlineStr">
        <is>
          <t>Concluded without agreement</t>
        </is>
      </c>
      <c r="D228" t="inlineStr">
        <is>
          <t>Primary hyperlipidemia and mixed dyslipidemia</t>
        </is>
      </c>
      <c r="E228" t="inlineStr">
        <is>
          <t>21004</t>
        </is>
      </c>
      <c r="F228" t="inlineStr">
        <is>
          <t>Amgen Canada Inc.</t>
        </is>
      </c>
      <c r="G228" t="inlineStr">
        <is>
          <t>SR0515-000</t>
        </is>
      </c>
      <c r="H228">
        <v>43320</v>
      </c>
      <c r="I228" s="3">
        <v>43671</v>
      </c>
    </row>
    <row r="229">
      <c r="A229" s="2">
        <f>HYPERLINK("https://www.pcpacanada.ca/negotiation/21003", "Ocrevus  (ocrelizumab)")</f>
        <v>0</v>
      </c>
      <c r="B229" t="inlineStr">
        <is>
          <t>Hoffmann-La Roche</t>
        </is>
      </c>
      <c r="C229" t="inlineStr">
        <is>
          <t>Concluded with an LOI</t>
        </is>
      </c>
      <c r="D229" t="inlineStr">
        <is>
          <t>multiple sclerosis, relapsing</t>
        </is>
      </c>
      <c r="E229" t="inlineStr">
        <is>
          <t>21003</t>
        </is>
      </c>
      <c r="F229" t="inlineStr">
        <is>
          <t>Hoffmann-La Roche</t>
        </is>
      </c>
      <c r="G229" t="inlineStr">
        <is>
          <t>SR0519-000</t>
        </is>
      </c>
      <c r="H229">
        <v>43300</v>
      </c>
      <c r="I229" s="3">
        <v>43509</v>
      </c>
    </row>
    <row r="230">
      <c r="A230" s="2">
        <f>HYPERLINK("https://www.pcpacanada.ca/negotiation/21002", "Tresiba  (insulin degludec)")</f>
        <v>0</v>
      </c>
      <c r="B230" t="inlineStr">
        <is>
          <t>Novo Nordisk Canada Inc.</t>
        </is>
      </c>
      <c r="C230" t="inlineStr">
        <is>
          <t>Concluded with an LOI</t>
        </is>
      </c>
      <c r="D230" t="inlineStr">
        <is>
          <t>Diabetes Mellitus, Type 1 &amp; 2</t>
        </is>
      </c>
      <c r="E230" t="inlineStr">
        <is>
          <t>21002</t>
        </is>
      </c>
      <c r="F230" t="inlineStr">
        <is>
          <t>Novo Nordisk Canada Inc.</t>
        </is>
      </c>
      <c r="G230" t="inlineStr">
        <is>
          <t>SR0521-000</t>
        </is>
      </c>
      <c r="H230">
        <v>43220</v>
      </c>
      <c r="I230" s="3">
        <v>43307</v>
      </c>
    </row>
    <row r="231">
      <c r="A231" s="2">
        <f>HYPERLINK("https://www.pcpacanada.ca/negotiation/21001", "Stivarga  (regorafenib)")</f>
        <v>0</v>
      </c>
      <c r="B231" t="inlineStr">
        <is>
          <t>Bayer Inc.</t>
        </is>
      </c>
      <c r="C231" t="inlineStr">
        <is>
          <t>Negotiations were not pursued</t>
        </is>
      </c>
      <c r="D231" t="inlineStr">
        <is>
          <t>Metastatic Colorectal Cancer</t>
        </is>
      </c>
      <c r="E231" t="inlineStr">
        <is>
          <t>21001</t>
        </is>
      </c>
      <c r="F231" t="inlineStr">
        <is>
          <t>Bayer Inc.</t>
        </is>
      </c>
      <c r="G231" t="inlineStr">
        <is>
          <t>pCODR 10046</t>
        </is>
      </c>
      <c r="H231" t="inlineStr">
        <is>
          <t>Not Applicable</t>
        </is>
      </c>
      <c r="I231" s="3">
        <v>42247</v>
      </c>
    </row>
    <row r="232">
      <c r="A232" s="2">
        <f>HYPERLINK("https://www.pcpacanada.ca/negotiation/21000", "VPRIV  (velaglucerase)")</f>
        <v>0</v>
      </c>
      <c r="B232" t="inlineStr">
        <is>
          <t>Shire Pharma Canada ULC</t>
        </is>
      </c>
      <c r="C232" t="inlineStr">
        <is>
          <t>Concluded with an LOI</t>
        </is>
      </c>
      <c r="D232" t="inlineStr">
        <is>
          <t>Gaucher disease</t>
        </is>
      </c>
      <c r="E232" t="inlineStr">
        <is>
          <t>21000</t>
        </is>
      </c>
      <c r="F232" t="inlineStr">
        <is>
          <t>Shire Pharma Canada ULC</t>
        </is>
      </c>
      <c r="G232" t="inlineStr">
        <is>
          <t>Not Applicable</t>
        </is>
      </c>
      <c r="H232">
        <v>43056</v>
      </c>
      <c r="I232" s="3">
        <v>43206</v>
      </c>
    </row>
    <row r="233">
      <c r="A233" s="2">
        <f>HYPERLINK("https://www.pcpacanada.ca/negotiation/20999", "Elelyso  (taliglucerase alfa)")</f>
        <v>0</v>
      </c>
      <c r="B233" t="inlineStr">
        <is>
          <t>Pfizer Canada ULC</t>
        </is>
      </c>
      <c r="C233" t="inlineStr">
        <is>
          <t>Concluded with an LOI</t>
        </is>
      </c>
      <c r="D233" t="inlineStr">
        <is>
          <t>Gaucher disease</t>
        </is>
      </c>
      <c r="E233" t="inlineStr">
        <is>
          <t>20999</t>
        </is>
      </c>
      <c r="F233" t="inlineStr">
        <is>
          <t>Pfizer Canada ULC</t>
        </is>
      </c>
      <c r="G233" t="inlineStr">
        <is>
          <t>Not Applicable</t>
        </is>
      </c>
      <c r="H233">
        <v>43056</v>
      </c>
      <c r="I233" s="3">
        <v>43237</v>
      </c>
    </row>
    <row r="234">
      <c r="A234" s="2">
        <f>HYPERLINK("https://www.pcpacanada.ca/negotiation/20998", "Cerezyme  (imiglucerase)")</f>
        <v>0</v>
      </c>
      <c r="B234" t="inlineStr">
        <is>
          <t>Sanofi Genzyme Canada</t>
        </is>
      </c>
      <c r="C234" t="inlineStr">
        <is>
          <t>Concluded without agreement</t>
        </is>
      </c>
      <c r="D234" t="inlineStr">
        <is>
          <t>Gaucher disease</t>
        </is>
      </c>
      <c r="E234" t="inlineStr">
        <is>
          <t>20998</t>
        </is>
      </c>
      <c r="F234" t="inlineStr">
        <is>
          <t>Sanofi Genzyme Canada</t>
        </is>
      </c>
      <c r="G234" t="inlineStr">
        <is>
          <t>Not Applicable</t>
        </is>
      </c>
      <c r="H234">
        <v>43055</v>
      </c>
      <c r="I234" s="3">
        <v>43251</v>
      </c>
    </row>
    <row r="235">
      <c r="A235" s="2">
        <f>HYPERLINK("https://www.pcpacanada.ca/negotiation/20997", "Kyleena  (levonorgestrel)")</f>
        <v>0</v>
      </c>
      <c r="B235" t="inlineStr">
        <is>
          <t>Bayer Inc.</t>
        </is>
      </c>
      <c r="C235" t="inlineStr">
        <is>
          <t>Concluded with an LOI</t>
        </is>
      </c>
      <c r="D235" t="inlineStr">
        <is>
          <t>Conception Control</t>
        </is>
      </c>
      <c r="E235" t="inlineStr">
        <is>
          <t>20997</t>
        </is>
      </c>
      <c r="F235" t="inlineStr">
        <is>
          <t>Bayer Inc.</t>
        </is>
      </c>
      <c r="G235" t="inlineStr">
        <is>
          <t>Not Applicable</t>
        </is>
      </c>
      <c r="H235">
        <v>43007</v>
      </c>
      <c r="I235" s="3">
        <v>43210</v>
      </c>
    </row>
    <row r="236">
      <c r="A236" s="2">
        <f>HYPERLINK("https://www.pcpacanada.ca/negotiation/20996", "Invega Trinza  (paliperidone palmitate)")</f>
        <v>0</v>
      </c>
      <c r="B236" t="inlineStr">
        <is>
          <t>Janssen Inc.</t>
        </is>
      </c>
      <c r="C236" t="inlineStr">
        <is>
          <t>Concluded with an LOI</t>
        </is>
      </c>
      <c r="D236" t="inlineStr">
        <is>
          <t>Schizophrenia</t>
        </is>
      </c>
      <c r="E236" t="inlineStr">
        <is>
          <t>20996</t>
        </is>
      </c>
      <c r="F236" t="inlineStr">
        <is>
          <t>Janssen Inc.</t>
        </is>
      </c>
      <c r="G236" t="inlineStr">
        <is>
          <t>Not Applicable</t>
        </is>
      </c>
      <c r="H236">
        <v>42664</v>
      </c>
      <c r="I236" s="3">
        <v>43136</v>
      </c>
    </row>
    <row r="237">
      <c r="A237" s="2">
        <f>HYPERLINK("https://www.pcpacanada.ca/negotiation/20995", "Strensiq  (asfotase alfa)")</f>
        <v>0</v>
      </c>
      <c r="B237" t="inlineStr">
        <is>
          <t>Alexion Pharma GMBH</t>
        </is>
      </c>
      <c r="C237" t="inlineStr">
        <is>
          <t>Concluded with an LOI</t>
        </is>
      </c>
      <c r="D237" t="inlineStr">
        <is>
          <t>pediatric-onset hypophosphatasia</t>
        </is>
      </c>
      <c r="E237" t="inlineStr">
        <is>
          <t>20995</t>
        </is>
      </c>
      <c r="F237" t="inlineStr">
        <is>
          <t>Alexion Pharma GMBH</t>
        </is>
      </c>
      <c r="G237" t="inlineStr">
        <is>
          <t>Not Applicable</t>
        </is>
      </c>
      <c r="H237">
        <v>42893</v>
      </c>
      <c r="I237" s="3">
        <v>43109</v>
      </c>
    </row>
    <row r="238">
      <c r="A238" s="2">
        <f>HYPERLINK("https://www.pcpacanada.ca/negotiation/20994", "Narcan  (naloxone hydrochloride)")</f>
        <v>0</v>
      </c>
      <c r="B238" t="inlineStr">
        <is>
          <t>Adapt Pharma Operations Limited</t>
        </is>
      </c>
      <c r="C238" t="inlineStr">
        <is>
          <t>Concluded with an LOI</t>
        </is>
      </c>
      <c r="D238" t="inlineStr">
        <is>
          <t>Opioid Overdose</t>
        </is>
      </c>
      <c r="E238" t="inlineStr">
        <is>
          <t>20994</t>
        </is>
      </c>
      <c r="F238" t="inlineStr">
        <is>
          <t>Adapt Pharma Operations Limited</t>
        </is>
      </c>
      <c r="G238" t="inlineStr">
        <is>
          <t>Not Applicable</t>
        </is>
      </c>
      <c r="H238">
        <v>42912</v>
      </c>
      <c r="I238" s="3">
        <v>43103</v>
      </c>
    </row>
    <row r="239">
      <c r="A239" s="2">
        <f>HYPERLINK("https://www.pcpacanada.ca/negotiation/20993", "Methadose  (methadone hydrochloride)")</f>
        <v>0</v>
      </c>
      <c r="B239" t="inlineStr">
        <is>
          <t>Mallinckrodt Canada ULC</t>
        </is>
      </c>
      <c r="C239" t="inlineStr">
        <is>
          <t>Concluded without agreement</t>
        </is>
      </c>
      <c r="D239" t="inlineStr">
        <is>
          <t>Opioid Dependence</t>
        </is>
      </c>
      <c r="E239" t="inlineStr">
        <is>
          <t>20993</t>
        </is>
      </c>
      <c r="F239" t="inlineStr">
        <is>
          <t>Mallinckrodt Canada ULC</t>
        </is>
      </c>
      <c r="G239" t="inlineStr">
        <is>
          <t>Not Applicable</t>
        </is>
      </c>
      <c r="H239">
        <v>42944</v>
      </c>
      <c r="I239" s="3">
        <v>43069</v>
      </c>
    </row>
    <row r="240">
      <c r="A240" s="2">
        <f>HYPERLINK("https://www.pcpacanada.ca/negotiation/20992", "Metoject  (methotrexate)")</f>
        <v>0</v>
      </c>
      <c r="B240" t="inlineStr">
        <is>
          <t>Medexus Inc.</t>
        </is>
      </c>
      <c r="C240" t="inlineStr">
        <is>
          <t>Concluded with an LOI</t>
        </is>
      </c>
      <c r="D240" t="inlineStr">
        <is>
          <t>Rheumatic Conditions</t>
        </is>
      </c>
      <c r="E240" t="inlineStr">
        <is>
          <t>20992</t>
        </is>
      </c>
      <c r="F240" t="inlineStr">
        <is>
          <t>Medexus Inc.</t>
        </is>
      </c>
      <c r="G240" t="inlineStr">
        <is>
          <t>Not Applicable</t>
        </is>
      </c>
      <c r="H240">
        <v>42522</v>
      </c>
      <c r="I240" s="3">
        <v>43059</v>
      </c>
    </row>
    <row r="241">
      <c r="A241" s="2">
        <f>HYPERLINK("https://www.pcpacanada.ca/negotiation/20991", "Copaxone  (glatiramer acetate)")</f>
        <v>0</v>
      </c>
      <c r="B241" t="inlineStr">
        <is>
          <t>Teva Canada Limited</t>
        </is>
      </c>
      <c r="C241" t="inlineStr">
        <is>
          <t>Concluded without agreement</t>
        </is>
      </c>
      <c r="D241" t="inlineStr">
        <is>
          <t>Clinically Isolated Syndrome</t>
        </is>
      </c>
      <c r="E241" t="inlineStr">
        <is>
          <t>20991</t>
        </is>
      </c>
      <c r="F241" t="inlineStr">
        <is>
          <t>Teva Canada Limited</t>
        </is>
      </c>
      <c r="G241" t="inlineStr">
        <is>
          <t>Not Applicable</t>
        </is>
      </c>
      <c r="H241">
        <v>42696</v>
      </c>
      <c r="I241" s="3">
        <v>43433</v>
      </c>
    </row>
    <row r="242">
      <c r="A242" s="2">
        <f>HYPERLINK("https://www.pcpacanada.ca/negotiation/20990", "Botox  (onabotulinumtoxin a)")</f>
        <v>0</v>
      </c>
      <c r="B242" t="inlineStr">
        <is>
          <t>Allergan Inc.</t>
        </is>
      </c>
      <c r="C242" t="inlineStr">
        <is>
          <t>Concluded with an LOI</t>
        </is>
      </c>
      <c r="D242" t="inlineStr">
        <is>
          <t>Multiple Indications</t>
        </is>
      </c>
      <c r="E242" t="inlineStr">
        <is>
          <t>20990</t>
        </is>
      </c>
      <c r="F242" t="inlineStr">
        <is>
          <t>Allergan Inc.</t>
        </is>
      </c>
      <c r="G242" t="inlineStr">
        <is>
          <t>Not Applicable</t>
        </is>
      </c>
      <c r="H242">
        <v>42720</v>
      </c>
      <c r="I242" s="3">
        <v>43159</v>
      </c>
    </row>
    <row r="243">
      <c r="A243" s="2">
        <f>HYPERLINK("https://www.pcpacanada.ca/negotiation/20989", "Faslodex  (fulvestrant)")</f>
        <v>0</v>
      </c>
      <c r="B243" t="inlineStr">
        <is>
          <t>AstraZeneca Canada Inc.</t>
        </is>
      </c>
      <c r="C243" t="inlineStr">
        <is>
          <t>Concluded without agreement</t>
        </is>
      </c>
      <c r="D243" t="inlineStr">
        <is>
          <t>Locally Advanced or Metastatic Breast Cancer</t>
        </is>
      </c>
      <c r="E243" t="inlineStr">
        <is>
          <t>20989</t>
        </is>
      </c>
      <c r="F243" t="inlineStr">
        <is>
          <t>AstraZeneca Canada Inc.</t>
        </is>
      </c>
      <c r="G243" t="inlineStr">
        <is>
          <t>pCODR 10110</t>
        </is>
      </c>
      <c r="H243">
        <v>43315</v>
      </c>
      <c r="I243" s="3">
        <v>43494</v>
      </c>
    </row>
    <row r="244">
      <c r="A244" s="2">
        <f>HYPERLINK("https://www.pcpacanada.ca/negotiation/20988", "Keytruda  (pembrolizumab)")</f>
        <v>0</v>
      </c>
      <c r="B244" t="inlineStr">
        <is>
          <t>Merck Canada Inc.</t>
        </is>
      </c>
      <c r="C244" t="inlineStr">
        <is>
          <t>Concluded with an LOI</t>
        </is>
      </c>
      <c r="D244" t="inlineStr">
        <is>
          <t>Classic Hodgkin's Lymphoma</t>
        </is>
      </c>
      <c r="E244" t="inlineStr">
        <is>
          <t>20988</t>
        </is>
      </c>
      <c r="F244" t="inlineStr">
        <is>
          <t>Merck Canada Inc.</t>
        </is>
      </c>
      <c r="G244" t="inlineStr">
        <is>
          <t>pCODR 10109</t>
        </is>
      </c>
      <c r="H244">
        <v>43383</v>
      </c>
      <c r="I244" s="3">
        <v>43936</v>
      </c>
    </row>
    <row r="245">
      <c r="A245" s="2">
        <f>HYPERLINK("https://www.pcpacanada.ca/negotiation/20987", "Onivyde  (irinotecan liposome)")</f>
        <v>0</v>
      </c>
      <c r="B245" t="inlineStr">
        <is>
          <t>Shire Pharma Canada ULC</t>
        </is>
      </c>
      <c r="C245" t="inlineStr">
        <is>
          <t>Concluded without agreement</t>
        </is>
      </c>
      <c r="D245" t="inlineStr">
        <is>
          <t>Metastatic Pancreatic Cancer</t>
        </is>
      </c>
      <c r="E245" t="inlineStr">
        <is>
          <t>20987</t>
        </is>
      </c>
      <c r="F245" t="inlineStr">
        <is>
          <t>Shire Pharma Canada ULC</t>
        </is>
      </c>
      <c r="G245" t="inlineStr">
        <is>
          <t>pCODR 10107</t>
        </is>
      </c>
      <c r="H245">
        <v>43490</v>
      </c>
      <c r="I245" s="3">
        <v>43623</v>
      </c>
    </row>
    <row r="246">
      <c r="A246" s="2">
        <f>HYPERLINK("https://www.pcpacanada.ca/negotiation/20986", "Yervoy/Opdivo  (nivolumab/ipilimumab)")</f>
        <v>0</v>
      </c>
      <c r="B246" t="inlineStr">
        <is>
          <t>Bristol Myers Squibb Canada Inc.</t>
        </is>
      </c>
      <c r="C246" t="inlineStr">
        <is>
          <t>Concluded with an LOI</t>
        </is>
      </c>
      <c r="D246" t="inlineStr">
        <is>
          <t>Metastatic Melanoma</t>
        </is>
      </c>
      <c r="E246" t="inlineStr">
        <is>
          <t>20986</t>
        </is>
      </c>
      <c r="F246" t="inlineStr">
        <is>
          <t>Bristol Myers Squibb Canada Inc.</t>
        </is>
      </c>
      <c r="G246" t="inlineStr">
        <is>
          <t>pCODR 10098</t>
        </is>
      </c>
      <c r="H246">
        <v>43264</v>
      </c>
      <c r="I246" s="3">
        <v>43544</v>
      </c>
    </row>
    <row r="247">
      <c r="A247" s="2">
        <f>HYPERLINK("https://www.pcpacanada.ca/negotiation/20985", "Glatect  (glatiramer acetate)")</f>
        <v>0</v>
      </c>
      <c r="B247" t="inlineStr">
        <is>
          <t>Pendopharm</t>
        </is>
      </c>
      <c r="C247" t="inlineStr">
        <is>
          <t>Concluded with an LOI</t>
        </is>
      </c>
      <c r="D247" t="inlineStr">
        <is>
          <t>Multiple Sclerosis, relapsing - remitting</t>
        </is>
      </c>
      <c r="E247" t="inlineStr">
        <is>
          <t>20985</t>
        </is>
      </c>
      <c r="F247" t="inlineStr">
        <is>
          <t>Pendopharm</t>
        </is>
      </c>
      <c r="G247" t="inlineStr">
        <is>
          <t>SE0510</t>
        </is>
      </c>
      <c r="H247">
        <v>42986</v>
      </c>
      <c r="I247" s="3">
        <v>43160</v>
      </c>
    </row>
    <row r="248">
      <c r="A248" s="2">
        <f>HYPERLINK("https://www.pcpacanada.ca/negotiation/20984", "Cerdelga  (eliglustat)")</f>
        <v>0</v>
      </c>
      <c r="B248" t="inlineStr">
        <is>
          <t>Sanofi Genzyme Canada</t>
        </is>
      </c>
      <c r="C248" t="inlineStr">
        <is>
          <t>Concluded without agreement</t>
        </is>
      </c>
      <c r="D248" t="inlineStr">
        <is>
          <t>Gaucher disease</t>
        </is>
      </c>
      <c r="E248" t="inlineStr">
        <is>
          <t>20984</t>
        </is>
      </c>
      <c r="F248" t="inlineStr">
        <is>
          <t>Sanofi Genzyme Canada</t>
        </is>
      </c>
      <c r="G248" t="inlineStr">
        <is>
          <t>SR0511-000</t>
        </is>
      </c>
      <c r="H248">
        <v>43055</v>
      </c>
      <c r="I248" s="3">
        <v>43251</v>
      </c>
    </row>
    <row r="249">
      <c r="A249" s="2">
        <f>HYPERLINK("https://www.pcpacanada.ca/negotiation/20983", "Ocaliva  (obeticholic acid)")</f>
        <v>0</v>
      </c>
      <c r="B249" t="inlineStr">
        <is>
          <t>Intercept Pharma Canada</t>
        </is>
      </c>
      <c r="C249" t="inlineStr">
        <is>
          <t>Concluded with an LOI</t>
        </is>
      </c>
      <c r="D249" t="inlineStr">
        <is>
          <t>Primary biliary cholangitis</t>
        </is>
      </c>
      <c r="E249" t="inlineStr">
        <is>
          <t>20983</t>
        </is>
      </c>
      <c r="F249" t="inlineStr">
        <is>
          <t>Intercept Pharma Canada</t>
        </is>
      </c>
      <c r="G249" t="inlineStr">
        <is>
          <t>SR0509-000</t>
        </is>
      </c>
      <c r="H249">
        <v>43077</v>
      </c>
      <c r="I249" s="3">
        <v>43278</v>
      </c>
    </row>
    <row r="250">
      <c r="A250" s="2">
        <f>HYPERLINK("https://www.pcpacanada.ca/negotiation/20982", "Caprelsa  (vandetanib)")</f>
        <v>0</v>
      </c>
      <c r="B250" t="inlineStr">
        <is>
          <t>Sanofi Genzyme Canada</t>
        </is>
      </c>
      <c r="C250" t="inlineStr">
        <is>
          <t>Concluded with an LOI</t>
        </is>
      </c>
      <c r="D250" t="inlineStr">
        <is>
          <t>Medullary Thyroid Cancer</t>
        </is>
      </c>
      <c r="E250" t="inlineStr">
        <is>
          <t>20982</t>
        </is>
      </c>
      <c r="F250" t="inlineStr">
        <is>
          <t>Sanofi Genzyme Canada</t>
        </is>
      </c>
      <c r="G250" t="inlineStr">
        <is>
          <t>Not Applicable</t>
        </is>
      </c>
      <c r="H250">
        <v>43097</v>
      </c>
      <c r="I250" s="3">
        <v>43252</v>
      </c>
    </row>
    <row r="251">
      <c r="A251" s="2">
        <f>HYPERLINK("https://www.pcpacanada.ca/negotiation/20981", "Erelzi  (etanercept)")</f>
        <v>0</v>
      </c>
      <c r="B251" t="inlineStr">
        <is>
          <t>Sandoz Canada Inc.</t>
        </is>
      </c>
      <c r="C251" t="inlineStr">
        <is>
          <t>Concluded with an LOI</t>
        </is>
      </c>
      <c r="D251" t="inlineStr">
        <is>
          <t>Ankylosing spondylitis, polyarticular juvenile idiopathic arthritis, rheumatoid arthritis</t>
        </is>
      </c>
      <c r="E251" t="inlineStr">
        <is>
          <t>20981</t>
        </is>
      </c>
      <c r="F251" t="inlineStr">
        <is>
          <t>Sandoz Canada Inc.</t>
        </is>
      </c>
      <c r="G251" t="inlineStr">
        <is>
          <t>SE0513-000</t>
        </is>
      </c>
      <c r="H251">
        <v>42846</v>
      </c>
      <c r="I251" s="3">
        <v>43025</v>
      </c>
    </row>
    <row r="252">
      <c r="A252" s="2">
        <f>HYPERLINK("https://www.pcpacanada.ca/negotiation/20980", "Zinbryta  (daclizumab beta)")</f>
        <v>0</v>
      </c>
      <c r="B252" t="inlineStr">
        <is>
          <t>Biogen Canada Inc.</t>
        </is>
      </c>
      <c r="C252" t="inlineStr">
        <is>
          <t>Negotiations were not pursued</t>
        </is>
      </c>
      <c r="D252" t="inlineStr">
        <is>
          <t>Multiple Sclerosis, relapsing</t>
        </is>
      </c>
      <c r="E252" t="inlineStr">
        <is>
          <t>20980</t>
        </is>
      </c>
      <c r="F252" t="inlineStr">
        <is>
          <t>Biogen Canada Inc.</t>
        </is>
      </c>
      <c r="G252" t="inlineStr">
        <is>
          <t>SR0508-000</t>
        </is>
      </c>
      <c r="H252" t="inlineStr">
        <is>
          <t>Not Applicable</t>
        </is>
      </c>
      <c r="I252" s="3">
        <v>43188</v>
      </c>
    </row>
    <row r="253">
      <c r="A253" s="2">
        <f>HYPERLINK("https://www.pcpacanada.ca/negotiation/20979", "Darzalex  (daratumumab)")</f>
        <v>0</v>
      </c>
      <c r="B253" t="inlineStr">
        <is>
          <t>Janssen Inc.</t>
        </is>
      </c>
      <c r="C253" t="inlineStr">
        <is>
          <t>Concluded with an LOI</t>
        </is>
      </c>
      <c r="D253" t="inlineStr">
        <is>
          <t>Multiple Myeloma</t>
        </is>
      </c>
      <c r="E253" t="inlineStr">
        <is>
          <t>20979</t>
        </is>
      </c>
      <c r="F253" t="inlineStr">
        <is>
          <t>Janssen Inc.</t>
        </is>
      </c>
      <c r="G253" t="inlineStr">
        <is>
          <t>pCODR 10104</t>
        </is>
      </c>
      <c r="H253">
        <v>43168</v>
      </c>
      <c r="I253" s="3">
        <v>43418</v>
      </c>
    </row>
    <row r="254">
      <c r="A254" s="2">
        <f>HYPERLINK("https://www.pcpacanada.ca/negotiation/20978", "Lixiana  (edoxaban)")</f>
        <v>0</v>
      </c>
      <c r="B254" t="inlineStr">
        <is>
          <t>Servier Canada Inc.</t>
        </is>
      </c>
      <c r="C254" t="inlineStr">
        <is>
          <t>Concluded with an LOI</t>
        </is>
      </c>
      <c r="D254" t="inlineStr">
        <is>
          <t>Venous thromboembolism, treatment and recurrence prevention</t>
        </is>
      </c>
      <c r="E254" t="inlineStr">
        <is>
          <t>20978</t>
        </is>
      </c>
      <c r="F254" t="inlineStr">
        <is>
          <t>Servier Canada Inc.</t>
        </is>
      </c>
      <c r="G254" t="inlineStr">
        <is>
          <t>SR0499</t>
        </is>
      </c>
      <c r="H254">
        <v>43301</v>
      </c>
      <c r="I254" s="3">
        <v>43501</v>
      </c>
    </row>
    <row r="255">
      <c r="A255" s="2">
        <f>HYPERLINK("https://www.pcpacanada.ca/negotiation/20977", "Odefsey  (emtricitabine/rilpivirine/tenofovir alafenamide)")</f>
        <v>0</v>
      </c>
      <c r="B255" t="inlineStr">
        <is>
          <t>Gilead Sciences Canada Inc.</t>
        </is>
      </c>
      <c r="C255" t="inlineStr">
        <is>
          <t>Concluded with an LOI</t>
        </is>
      </c>
      <c r="D255" t="inlineStr">
        <is>
          <t>HIV infection</t>
        </is>
      </c>
      <c r="E255" t="inlineStr">
        <is>
          <t>20977</t>
        </is>
      </c>
      <c r="F255" t="inlineStr">
        <is>
          <t>Gilead Sciences Canada Inc.</t>
        </is>
      </c>
      <c r="G255" t="inlineStr">
        <is>
          <t>SR0507-000</t>
        </is>
      </c>
      <c r="H255">
        <v>42951</v>
      </c>
      <c r="I255" s="3">
        <v>43257</v>
      </c>
    </row>
    <row r="256">
      <c r="A256" s="2">
        <f>HYPERLINK("https://www.pcpacanada.ca/negotiation/20976", "Lancora  (ivabradine)")</f>
        <v>0</v>
      </c>
      <c r="B256" t="inlineStr">
        <is>
          <t>Servier Canada Inc.</t>
        </is>
      </c>
      <c r="C256" t="inlineStr">
        <is>
          <t>Concluded with an LOI</t>
        </is>
      </c>
      <c r="D256" t="inlineStr">
        <is>
          <t>Heart failure, NYHA class II or III</t>
        </is>
      </c>
      <c r="E256" t="inlineStr">
        <is>
          <t>20976</t>
        </is>
      </c>
      <c r="F256" t="inlineStr">
        <is>
          <t>Servier Canada Inc.</t>
        </is>
      </c>
      <c r="G256" t="inlineStr">
        <is>
          <t>SR0506-000</t>
        </is>
      </c>
      <c r="H256">
        <v>43077</v>
      </c>
      <c r="I256" s="3">
        <v>43334</v>
      </c>
    </row>
    <row r="257">
      <c r="A257" s="2">
        <f>HYPERLINK("https://www.pcpacanada.ca/negotiation/20975", "Fibristal  (ulipristal acetate)")</f>
        <v>0</v>
      </c>
      <c r="B257" t="inlineStr">
        <is>
          <t>Allergan Inc.</t>
        </is>
      </c>
      <c r="C257" t="inlineStr">
        <is>
          <t>Concluded without agreement</t>
        </is>
      </c>
      <c r="D257" t="inlineStr">
        <is>
          <t>Uterine fibroids (signs and symptoms) - 2nd cycle pre-surgery</t>
        </is>
      </c>
      <c r="E257" t="inlineStr">
        <is>
          <t>20975</t>
        </is>
      </c>
      <c r="F257" t="inlineStr">
        <is>
          <t>Allergan Inc.</t>
        </is>
      </c>
      <c r="G257" t="inlineStr">
        <is>
          <t>Not Applicable</t>
        </is>
      </c>
      <c r="H257">
        <v>43003</v>
      </c>
      <c r="I257" s="3">
        <v>43371</v>
      </c>
    </row>
    <row r="258">
      <c r="A258" s="2">
        <f>HYPERLINK("https://www.pcpacanada.ca/negotiation/20974", "Mictoryl  (propiverine hydrochloride)")</f>
        <v>0</v>
      </c>
      <c r="B258" t="inlineStr">
        <is>
          <t>Duchesnay Inc.</t>
        </is>
      </c>
      <c r="C258" t="inlineStr">
        <is>
          <t>Concluded without agreement</t>
        </is>
      </c>
      <c r="D258" t="inlineStr">
        <is>
          <t>Overactive bladder</t>
        </is>
      </c>
      <c r="E258" t="inlineStr">
        <is>
          <t>20974</t>
        </is>
      </c>
      <c r="F258" t="inlineStr">
        <is>
          <t>Duchesnay Inc.</t>
        </is>
      </c>
      <c r="G258" t="inlineStr">
        <is>
          <t>SR0504-000</t>
        </is>
      </c>
      <c r="H258">
        <v>42977</v>
      </c>
      <c r="I258" s="3">
        <v>43143</v>
      </c>
    </row>
    <row r="259">
      <c r="A259" s="2">
        <f>HYPERLINK("https://www.pcpacanada.ca/negotiation/20973", "Kevzara  (sarilumab)")</f>
        <v>0</v>
      </c>
      <c r="B259" t="inlineStr">
        <is>
          <t>Sanofi-aventis Canada Inc.</t>
        </is>
      </c>
      <c r="C259" t="inlineStr">
        <is>
          <t>Concluded without agreement</t>
        </is>
      </c>
      <c r="D259" t="inlineStr">
        <is>
          <t>Subacute and chronic inflammatory joint diseases</t>
        </is>
      </c>
      <c r="E259" t="inlineStr">
        <is>
          <t>20973</t>
        </is>
      </c>
      <c r="F259" t="inlineStr">
        <is>
          <t>Sanofi-aventis Canada Inc.</t>
        </is>
      </c>
      <c r="G259" t="inlineStr">
        <is>
          <t>SR0503-000</t>
        </is>
      </c>
      <c r="H259">
        <v>42944</v>
      </c>
      <c r="I259" s="3">
        <v>43034</v>
      </c>
    </row>
    <row r="260">
      <c r="A260" s="2">
        <f>HYPERLINK("https://www.pcpacanada.ca/negotiation/20972", "Blincyto  (blinatumomab)")</f>
        <v>0</v>
      </c>
      <c r="B260" t="inlineStr">
        <is>
          <t>Amgen Canada Inc.</t>
        </is>
      </c>
      <c r="C260" t="inlineStr">
        <is>
          <t>Concluded with an LOI</t>
        </is>
      </c>
      <c r="D260" t="inlineStr">
        <is>
          <t>Acute Lymphoblastic Leukemia</t>
        </is>
      </c>
      <c r="E260" t="inlineStr">
        <is>
          <t>20972</t>
        </is>
      </c>
      <c r="F260" t="inlineStr">
        <is>
          <t>Amgen Canada Inc.</t>
        </is>
      </c>
      <c r="G260" t="inlineStr">
        <is>
          <t>pCODR 10097</t>
        </is>
      </c>
      <c r="H260">
        <v>43098</v>
      </c>
      <c r="I260" s="3">
        <v>43480</v>
      </c>
    </row>
    <row r="261">
      <c r="A261" s="2">
        <f>HYPERLINK("https://www.pcpacanada.ca/negotiation/20971", "Actikerall  (fluorouracil/salicylic acid)")</f>
        <v>0</v>
      </c>
      <c r="B261" t="inlineStr">
        <is>
          <t>Cipher</t>
        </is>
      </c>
      <c r="C261" t="inlineStr">
        <is>
          <t>Concluded with an LOI</t>
        </is>
      </c>
      <c r="D261" t="inlineStr">
        <is>
          <t>Hyperkeratotic actinic keratosis</t>
        </is>
      </c>
      <c r="E261" t="inlineStr">
        <is>
          <t>20971</t>
        </is>
      </c>
      <c r="F261" t="inlineStr">
        <is>
          <t>Cipher</t>
        </is>
      </c>
      <c r="G261" t="inlineStr">
        <is>
          <t>SR0498</t>
        </is>
      </c>
      <c r="H261">
        <v>43154</v>
      </c>
      <c r="I261" s="3">
        <v>43334</v>
      </c>
    </row>
    <row r="262">
      <c r="A262" s="2">
        <f>HYPERLINK("https://www.pcpacanada.ca/negotiation/20970", "Stelara  (ustekinumab)")</f>
        <v>0</v>
      </c>
      <c r="B262" t="inlineStr">
        <is>
          <t>Janssen Inc.</t>
        </is>
      </c>
      <c r="C262" t="inlineStr">
        <is>
          <t>Concluded without agreement</t>
        </is>
      </c>
      <c r="D262" t="inlineStr">
        <is>
          <t>Crohn's disease</t>
        </is>
      </c>
      <c r="E262" t="inlineStr">
        <is>
          <t>20970</t>
        </is>
      </c>
      <c r="F262" t="inlineStr">
        <is>
          <t>Janssen Inc.</t>
        </is>
      </c>
      <c r="G262" t="inlineStr">
        <is>
          <t>SR0501-000</t>
        </is>
      </c>
      <c r="H262">
        <v>43140</v>
      </c>
      <c r="I262" s="3">
        <v>43553</v>
      </c>
    </row>
    <row r="263">
      <c r="A263" s="2">
        <f>HYPERLINK("https://www.pcpacanada.ca/negotiation/20969", "Lixiana  (edoxaban)")</f>
        <v>0</v>
      </c>
      <c r="B263" t="inlineStr">
        <is>
          <t>Servier Canada Inc.</t>
        </is>
      </c>
      <c r="C263" t="inlineStr">
        <is>
          <t>Concluded with an LOI</t>
        </is>
      </c>
      <c r="D263" t="inlineStr">
        <is>
          <t>Non-valvular atrial fibrillation, prevention of stroke and systemic embolism</t>
        </is>
      </c>
      <c r="E263" t="inlineStr">
        <is>
          <t>20969</t>
        </is>
      </c>
      <c r="F263" t="inlineStr">
        <is>
          <t>Servier Canada Inc.</t>
        </is>
      </c>
      <c r="G263" t="inlineStr">
        <is>
          <t>SR0500</t>
        </is>
      </c>
      <c r="H263">
        <v>43301</v>
      </c>
      <c r="I263" s="3">
        <v>43501</v>
      </c>
    </row>
    <row r="264">
      <c r="A264" s="2">
        <f>HYPERLINK("https://www.pcpacanada.ca/negotiation/20968", "Blincyto  (blinatumomab)")</f>
        <v>0</v>
      </c>
      <c r="B264" t="inlineStr">
        <is>
          <t>Amgen Canada Inc.</t>
        </is>
      </c>
      <c r="C264" t="inlineStr">
        <is>
          <t>Concluded with an LOI</t>
        </is>
      </c>
      <c r="D264" t="inlineStr">
        <is>
          <t>Pediatric Acute Lymphoblastic Leukemia (ALL)</t>
        </is>
      </c>
      <c r="E264" t="inlineStr">
        <is>
          <t>20968</t>
        </is>
      </c>
      <c r="F264" t="inlineStr">
        <is>
          <t>Amgen Canada Inc.</t>
        </is>
      </c>
      <c r="G264" t="inlineStr">
        <is>
          <t>pCODR 10099</t>
        </is>
      </c>
      <c r="H264">
        <v>43098</v>
      </c>
      <c r="I264" s="3">
        <v>43480</v>
      </c>
    </row>
    <row r="265">
      <c r="A265" s="2">
        <f>HYPERLINK("https://www.pcpacanada.ca/negotiation/20967", "Ravicti  (glycerol phenylbutyrate)")</f>
        <v>0</v>
      </c>
      <c r="B265" t="inlineStr">
        <is>
          <t>Horizon Therapeutics Ireland DAC</t>
        </is>
      </c>
      <c r="C265" t="inlineStr">
        <is>
          <t>Concluded with an LOI</t>
        </is>
      </c>
      <c r="D265" t="inlineStr">
        <is>
          <t>Urea cycle disorders</t>
        </is>
      </c>
      <c r="E265" t="inlineStr">
        <is>
          <t>20967</t>
        </is>
      </c>
      <c r="F265" t="inlineStr">
        <is>
          <t>Horizon Therapeutics Ireland DAC</t>
        </is>
      </c>
      <c r="G265" t="inlineStr">
        <is>
          <t>SR0497-000</t>
        </is>
      </c>
      <c r="H265">
        <v>42846</v>
      </c>
      <c r="I265" s="3">
        <v>43081</v>
      </c>
    </row>
    <row r="266">
      <c r="A266" s="2">
        <f>HYPERLINK("https://www.pcpacanada.ca/negotiation/20966", "Hemangiol  (propranolol oral solution)")</f>
        <v>0</v>
      </c>
      <c r="B266" t="inlineStr">
        <is>
          <t>Pierre Fabre</t>
        </is>
      </c>
      <c r="C266" t="inlineStr">
        <is>
          <t>Concluded with an LOI</t>
        </is>
      </c>
      <c r="D266" t="inlineStr">
        <is>
          <t>Infantile hemangioma</t>
        </is>
      </c>
      <c r="E266" t="inlineStr">
        <is>
          <t>20966</t>
        </is>
      </c>
      <c r="F266" t="inlineStr">
        <is>
          <t>Pierre Fabre</t>
        </is>
      </c>
      <c r="G266" t="inlineStr">
        <is>
          <t>SR0496-000</t>
        </is>
      </c>
      <c r="H266">
        <v>42951</v>
      </c>
      <c r="I266" s="3">
        <v>43297</v>
      </c>
    </row>
    <row r="267">
      <c r="A267" s="2">
        <f>HYPERLINK("https://www.pcpacanada.ca/negotiation/20965", "Brivlera  (brivaracetam)")</f>
        <v>0</v>
      </c>
      <c r="B267" t="inlineStr">
        <is>
          <t>UCB Canada Inc.</t>
        </is>
      </c>
      <c r="C267" t="inlineStr">
        <is>
          <t>Concluded with an LOI</t>
        </is>
      </c>
      <c r="D267" t="inlineStr">
        <is>
          <t>Epilepsy, partial-onset seizures</t>
        </is>
      </c>
      <c r="E267" t="inlineStr">
        <is>
          <t>20965</t>
        </is>
      </c>
      <c r="F267" t="inlineStr">
        <is>
          <t>UCB Canada Inc.</t>
        </is>
      </c>
      <c r="G267" t="inlineStr">
        <is>
          <t>SR0484-000</t>
        </is>
      </c>
      <c r="H267">
        <v>42884</v>
      </c>
      <c r="I267" s="3">
        <v>43395</v>
      </c>
    </row>
    <row r="268">
      <c r="A268" s="2">
        <f>HYPERLINK("https://www.pcpacanada.ca/negotiation/20964", "Ibrance  (palbociclib)")</f>
        <v>0</v>
      </c>
      <c r="B268" t="inlineStr">
        <is>
          <t>Pfizer Canada ULC</t>
        </is>
      </c>
      <c r="C268" t="inlineStr">
        <is>
          <t>Concluded with an LOI</t>
        </is>
      </c>
      <c r="D268" t="inlineStr">
        <is>
          <t>Advanced Breast Cancer</t>
        </is>
      </c>
      <c r="E268" t="inlineStr">
        <is>
          <t>20964</t>
        </is>
      </c>
      <c r="F268" t="inlineStr">
        <is>
          <t>Pfizer Canada ULC</t>
        </is>
      </c>
      <c r="G268" t="inlineStr">
        <is>
          <t>pCODR 10093</t>
        </is>
      </c>
      <c r="H268">
        <v>42870</v>
      </c>
      <c r="I268" s="3">
        <v>43090</v>
      </c>
    </row>
    <row r="269">
      <c r="A269" s="2">
        <f>HYPERLINK("https://www.pcpacanada.ca/negotiation/20963", "Quinsair  (levofloxacin)")</f>
        <v>0</v>
      </c>
      <c r="B269" t="inlineStr">
        <is>
          <t>Raptor Pharmaceuticals Inc.</t>
        </is>
      </c>
      <c r="C269" t="inlineStr">
        <is>
          <t>Concluded with an LOI</t>
        </is>
      </c>
      <c r="D269" t="inlineStr">
        <is>
          <t>Cystic fibrosis with chronic pulmonary Pseudomonas aeruginosa infections</t>
        </is>
      </c>
      <c r="E269" t="inlineStr">
        <is>
          <t>20963</t>
        </is>
      </c>
      <c r="F269" t="inlineStr">
        <is>
          <t>Raptor Pharmaceuticals Inc.</t>
        </is>
      </c>
      <c r="G269" t="inlineStr">
        <is>
          <t>SR0493-000</t>
        </is>
      </c>
      <c r="H269">
        <v>42884</v>
      </c>
      <c r="I269" s="3">
        <v>43384</v>
      </c>
    </row>
    <row r="270">
      <c r="A270" s="2">
        <f>HYPERLINK("https://www.pcpacanada.ca/negotiation/20962", "Rituxan  (rituximab)")</f>
        <v>0</v>
      </c>
      <c r="B270" t="inlineStr">
        <is>
          <t>Hoffmann-La Roche</t>
        </is>
      </c>
      <c r="C270" t="inlineStr">
        <is>
          <t>Negotiations were not pursued</t>
        </is>
      </c>
      <c r="D270" t="inlineStr">
        <is>
          <t>Acute Lymphoblastic Leukemia</t>
        </is>
      </c>
      <c r="E270" t="inlineStr">
        <is>
          <t>20962</t>
        </is>
      </c>
      <c r="F270" t="inlineStr">
        <is>
          <t>Hoffmann-La Roche</t>
        </is>
      </c>
      <c r="G270" t="inlineStr">
        <is>
          <t>pCODR 10102</t>
        </is>
      </c>
      <c r="H270" t="inlineStr">
        <is>
          <t>Not Applicable</t>
        </is>
      </c>
      <c r="I270" s="3">
        <v>43077</v>
      </c>
    </row>
    <row r="271">
      <c r="A271" s="2">
        <f>HYPERLINK("https://www.pcpacanada.ca/negotiation/20961", "Kyprolis  (carfilzomib)")</f>
        <v>0</v>
      </c>
      <c r="B271" t="inlineStr">
        <is>
          <t>Amgen Canada Inc.</t>
        </is>
      </c>
      <c r="C271" t="inlineStr">
        <is>
          <t>Concluded with an LOI</t>
        </is>
      </c>
      <c r="D271" t="inlineStr">
        <is>
          <t>Multiple Myeloma</t>
        </is>
      </c>
      <c r="E271" t="inlineStr">
        <is>
          <t>20961</t>
        </is>
      </c>
      <c r="F271" t="inlineStr">
        <is>
          <t>Amgen Canada Inc.</t>
        </is>
      </c>
      <c r="G271" t="inlineStr">
        <is>
          <t>pCODR 10084</t>
        </is>
      </c>
      <c r="H271">
        <v>42888</v>
      </c>
      <c r="I271" s="3">
        <v>43077</v>
      </c>
    </row>
    <row r="272">
      <c r="A272" s="2">
        <f>HYPERLINK("https://www.pcpacanada.ca/negotiation/20960", "Uptravi  (selexipag)")</f>
        <v>0</v>
      </c>
      <c r="B272" t="inlineStr">
        <is>
          <t>Actelion Pharmaceuticals Ltd.</t>
        </is>
      </c>
      <c r="C272" t="inlineStr">
        <is>
          <t>Concluded with an LOI</t>
        </is>
      </c>
      <c r="D272" t="inlineStr">
        <is>
          <t>Pulmonary Arterial Hypertension</t>
        </is>
      </c>
      <c r="E272" t="inlineStr">
        <is>
          <t>20960</t>
        </is>
      </c>
      <c r="F272" t="inlineStr">
        <is>
          <t>Actelion Pharmaceuticals Ltd.</t>
        </is>
      </c>
      <c r="G272" t="inlineStr">
        <is>
          <t>SR0482-000</t>
        </is>
      </c>
      <c r="H272">
        <v>42838</v>
      </c>
      <c r="I272" s="3">
        <v>43081</v>
      </c>
    </row>
    <row r="273">
      <c r="A273" s="2">
        <f>HYPERLINK("https://www.pcpacanada.ca/negotiation/20959", "Synjardy  (empagliflozin/metformin)")</f>
        <v>0</v>
      </c>
      <c r="B273" t="inlineStr">
        <is>
          <t>Boehringer Ingelheim (Canada) Ltd. Ltee.</t>
        </is>
      </c>
      <c r="C273" t="inlineStr">
        <is>
          <t>Concluded with an LOI</t>
        </is>
      </c>
      <c r="D273" t="inlineStr">
        <is>
          <t>Diabetes Mellitus, Type 2</t>
        </is>
      </c>
      <c r="E273" t="inlineStr">
        <is>
          <t>20959</t>
        </is>
      </c>
      <c r="F273" t="inlineStr">
        <is>
          <t>Boehringer Ingelheim (Canada) Ltd. Ltee.</t>
        </is>
      </c>
      <c r="G273" t="inlineStr">
        <is>
          <t>Not Applicable</t>
        </is>
      </c>
      <c r="H273">
        <v>43354</v>
      </c>
      <c r="I273" s="3">
        <v>43354</v>
      </c>
    </row>
    <row r="274">
      <c r="A274" s="2">
        <f>HYPERLINK("https://www.pcpacanada.ca/negotiation/20958", "Taltz  (ixekizumab)")</f>
        <v>0</v>
      </c>
      <c r="B274" t="inlineStr">
        <is>
          <t>Eli Lilly Canada Inc.</t>
        </is>
      </c>
      <c r="C274" t="inlineStr">
        <is>
          <t>Concluded with an LOI</t>
        </is>
      </c>
      <c r="D274" t="inlineStr">
        <is>
          <t>Psoriasis, moderate to severe plaque</t>
        </is>
      </c>
      <c r="E274" t="inlineStr">
        <is>
          <t>20958</t>
        </is>
      </c>
      <c r="F274" t="inlineStr">
        <is>
          <t>Eli Lilly Canada Inc.</t>
        </is>
      </c>
      <c r="G274" t="inlineStr">
        <is>
          <t>Not Applicable</t>
        </is>
      </c>
      <c r="H274">
        <v>42860</v>
      </c>
      <c r="I274" s="3">
        <v>43098</v>
      </c>
    </row>
    <row r="275">
      <c r="A275" s="2">
        <f>HYPERLINK("https://www.pcpacanada.ca/negotiation/20957", "Kuvan  (sapropterin dihydrochloride)")</f>
        <v>0</v>
      </c>
      <c r="B275" t="inlineStr">
        <is>
          <t>BioMarin Pharmaceutical Inc.</t>
        </is>
      </c>
      <c r="C275" t="inlineStr">
        <is>
          <t>Concluded with an LOI</t>
        </is>
      </c>
      <c r="D275" t="inlineStr">
        <is>
          <t>Phenylketonuria</t>
        </is>
      </c>
      <c r="E275" t="inlineStr">
        <is>
          <t>20957</t>
        </is>
      </c>
      <c r="F275" t="inlineStr">
        <is>
          <t>BioMarin Pharmaceutical Inc.</t>
        </is>
      </c>
      <c r="G275" t="inlineStr">
        <is>
          <t>SR0472-000</t>
        </is>
      </c>
      <c r="H275">
        <v>42860</v>
      </c>
      <c r="I275" s="3">
        <v>43874</v>
      </c>
    </row>
    <row r="276">
      <c r="A276" s="2">
        <f>HYPERLINK("https://www.pcpacanada.ca/negotiation/20956", "Jardiance  (empagliflozin)")</f>
        <v>0</v>
      </c>
      <c r="B276" t="inlineStr">
        <is>
          <t>Boehringer Ingelheim (Canada) Ltd. Ltee.</t>
        </is>
      </c>
      <c r="C276" t="inlineStr">
        <is>
          <t>Concluded with an LOI</t>
        </is>
      </c>
      <c r="D276" t="inlineStr">
        <is>
          <t>Diabetes Mellitus, Type 2 with high cardiovascular risk</t>
        </is>
      </c>
      <c r="E276" t="inlineStr">
        <is>
          <t>20956</t>
        </is>
      </c>
      <c r="F276" t="inlineStr">
        <is>
          <t>Boehringer Ingelheim (Canada) Ltd. Ltee.</t>
        </is>
      </c>
      <c r="G276" t="inlineStr">
        <is>
          <t>SR0488-000</t>
        </is>
      </c>
      <c r="H276">
        <v>42601</v>
      </c>
      <c r="I276" s="3">
        <v>43354</v>
      </c>
    </row>
    <row r="277">
      <c r="A277" s="2">
        <f>HYPERLINK("https://www.pcpacanada.ca/negotiation/20955", "Invokamet  (canagliflozin/metformin hydrochloride)")</f>
        <v>0</v>
      </c>
      <c r="B277" t="inlineStr">
        <is>
          <t>Janssen Inc.</t>
        </is>
      </c>
      <c r="C277" t="inlineStr">
        <is>
          <t>Concluded without agreement</t>
        </is>
      </c>
      <c r="D277" t="inlineStr">
        <is>
          <t>Diabetes Mellitus, Type 2</t>
        </is>
      </c>
      <c r="E277" t="inlineStr">
        <is>
          <t>20955</t>
        </is>
      </c>
      <c r="F277" t="inlineStr">
        <is>
          <t>Janssen Inc.</t>
        </is>
      </c>
      <c r="G277" t="inlineStr">
        <is>
          <t>SR0480-000</t>
        </is>
      </c>
      <c r="H277">
        <v>42860</v>
      </c>
      <c r="I277" s="3">
        <v>43028</v>
      </c>
    </row>
    <row r="278">
      <c r="A278" s="2">
        <f>HYPERLINK("https://www.pcpacanada.ca/negotiation/20954", "Brilinta  (ticagrelor)")</f>
        <v>0</v>
      </c>
      <c r="B278" t="inlineStr">
        <is>
          <t>AstraZeneca Canada Inc.</t>
        </is>
      </c>
      <c r="C278" t="inlineStr">
        <is>
          <t>Concluded without agreement</t>
        </is>
      </c>
      <c r="D278" t="inlineStr">
        <is>
          <t>Prevention of atherothrombotic events with history of myocardial infarction</t>
        </is>
      </c>
      <c r="E278" t="inlineStr">
        <is>
          <t>20954</t>
        </is>
      </c>
      <c r="F278" t="inlineStr">
        <is>
          <t>AstraZeneca Canada Inc.</t>
        </is>
      </c>
      <c r="G278" t="inlineStr">
        <is>
          <t>SR0474-000</t>
        </is>
      </c>
      <c r="H278">
        <v>42951</v>
      </c>
      <c r="I278" s="3">
        <v>43069</v>
      </c>
    </row>
    <row r="279">
      <c r="A279" s="2">
        <f>HYPERLINK("https://www.pcpacanada.ca/negotiation/20953", "Descovy  (emtricitabine/tenofovir alafenamide)")</f>
        <v>0</v>
      </c>
      <c r="B279" t="inlineStr">
        <is>
          <t>Gilead Sciences Canada Inc.</t>
        </is>
      </c>
      <c r="C279" t="inlineStr">
        <is>
          <t>Concluded without agreement</t>
        </is>
      </c>
      <c r="D279" t="inlineStr">
        <is>
          <t>HIV infection</t>
        </is>
      </c>
      <c r="E279" t="inlineStr">
        <is>
          <t>20953</t>
        </is>
      </c>
      <c r="F279" t="inlineStr">
        <is>
          <t>Gilead Sciences Canada Inc.</t>
        </is>
      </c>
      <c r="G279" t="inlineStr">
        <is>
          <t>SR0470-000</t>
        </is>
      </c>
      <c r="H279">
        <v>42951</v>
      </c>
      <c r="I279" s="3">
        <v>43259</v>
      </c>
    </row>
    <row r="280">
      <c r="A280" s="2">
        <f>HYPERLINK("https://www.pcpacanada.ca/negotiation/20952", "Cosentyx  (secukinumab)")</f>
        <v>0</v>
      </c>
      <c r="B280" t="inlineStr">
        <is>
          <t>Novartis Pharmaceuticals Canada Inc.</t>
        </is>
      </c>
      <c r="C280" t="inlineStr">
        <is>
          <t>Concluded with an LOI</t>
        </is>
      </c>
      <c r="D280" t="inlineStr">
        <is>
          <t>Ankylosing spondylitis</t>
        </is>
      </c>
      <c r="E280" t="inlineStr">
        <is>
          <t>20952</t>
        </is>
      </c>
      <c r="F280" t="inlineStr">
        <is>
          <t>Novartis Pharmaceuticals Canada Inc.</t>
        </is>
      </c>
      <c r="G280" t="inlineStr">
        <is>
          <t>SR0475-000</t>
        </is>
      </c>
      <c r="H280">
        <v>42838</v>
      </c>
      <c r="I280" s="3">
        <v>43088</v>
      </c>
    </row>
    <row r="281">
      <c r="A281" s="2">
        <f>HYPERLINK("https://www.pcpacanada.ca/negotiation/20951", "Cosentyx  (secukinumab)")</f>
        <v>0</v>
      </c>
      <c r="B281" t="inlineStr">
        <is>
          <t>Novartis Pharmaceuticals Canada Inc.</t>
        </is>
      </c>
      <c r="C281" t="inlineStr">
        <is>
          <t>Concluded with an LOI</t>
        </is>
      </c>
      <c r="D281" t="inlineStr">
        <is>
          <t>Psoriatic Arthritis</t>
        </is>
      </c>
      <c r="E281" t="inlineStr">
        <is>
          <t>20951</t>
        </is>
      </c>
      <c r="F281" t="inlineStr">
        <is>
          <t>Novartis Pharmaceuticals Canada Inc.</t>
        </is>
      </c>
      <c r="G281" t="inlineStr">
        <is>
          <t>SR0476-000</t>
        </is>
      </c>
      <c r="H281">
        <v>42838</v>
      </c>
      <c r="I281" s="3">
        <v>43088</v>
      </c>
    </row>
    <row r="282">
      <c r="A282" s="2">
        <f>HYPERLINK("https://www.pcpacanada.ca/negotiation/20950", "Revestive  (teduglutide)")</f>
        <v>0</v>
      </c>
      <c r="B282" t="inlineStr">
        <is>
          <t>Shire Pharma Canada ULC</t>
        </is>
      </c>
      <c r="C282" t="inlineStr">
        <is>
          <t>Concluded with an LOI</t>
        </is>
      </c>
      <c r="D282" t="inlineStr">
        <is>
          <t>Short Bowel Syndrome (SBS)</t>
        </is>
      </c>
      <c r="E282" t="inlineStr">
        <is>
          <t>20950</t>
        </is>
      </c>
      <c r="F282" t="inlineStr">
        <is>
          <t>Shire Pharma Canada ULC</t>
        </is>
      </c>
      <c r="G282" t="inlineStr">
        <is>
          <t>SR0459-000</t>
        </is>
      </c>
      <c r="H282">
        <v>42916</v>
      </c>
      <c r="I282" s="3">
        <v>43319</v>
      </c>
    </row>
    <row r="283">
      <c r="A283" s="2">
        <f>HYPERLINK("https://www.pcpacanada.ca/negotiation/20949", "Praluent  (alirocumab)")</f>
        <v>0</v>
      </c>
      <c r="B283" t="inlineStr">
        <is>
          <t>Sanofi-aventis Canada Inc.</t>
        </is>
      </c>
      <c r="C283" t="inlineStr">
        <is>
          <t>Concluded with an LOI</t>
        </is>
      </c>
      <c r="D283" t="inlineStr">
        <is>
          <t>Primary hypercholesterolemia (non-familial and heterozygous familial)</t>
        </is>
      </c>
      <c r="E283" t="inlineStr">
        <is>
          <t>20949</t>
        </is>
      </c>
      <c r="F283" t="inlineStr">
        <is>
          <t>Sanofi-aventis Canada Inc.</t>
        </is>
      </c>
      <c r="G283" t="inlineStr">
        <is>
          <t>SR0469-000</t>
        </is>
      </c>
      <c r="H283">
        <v>42608</v>
      </c>
      <c r="I283" s="3">
        <v>43314</v>
      </c>
    </row>
    <row r="284">
      <c r="A284" s="2">
        <f>HYPERLINK("https://www.pcpacanada.ca/negotiation/20948", "Kyprolis  (carfilzomib)")</f>
        <v>0</v>
      </c>
      <c r="B284" t="inlineStr">
        <is>
          <t>Amgen Canada Inc.</t>
        </is>
      </c>
      <c r="C284" t="inlineStr">
        <is>
          <t>Concluded with an LOI</t>
        </is>
      </c>
      <c r="D284" t="inlineStr">
        <is>
          <t>Multiple Myeloma</t>
        </is>
      </c>
      <c r="E284" t="inlineStr">
        <is>
          <t>20948</t>
        </is>
      </c>
      <c r="F284" t="inlineStr">
        <is>
          <t>Amgen Canada Inc.</t>
        </is>
      </c>
      <c r="G284" t="inlineStr">
        <is>
          <t>pCODR 10067</t>
        </is>
      </c>
      <c r="H284">
        <v>42657</v>
      </c>
      <c r="I284" s="3">
        <v>43077</v>
      </c>
    </row>
    <row r="285">
      <c r="A285" s="2">
        <f>HYPERLINK("https://www.pcpacanada.ca/negotiation/20947", "Trulicity  (dulaglutide)")</f>
        <v>0</v>
      </c>
      <c r="B285" t="inlineStr">
        <is>
          <t>Eli Lilly Canada Inc.</t>
        </is>
      </c>
      <c r="C285" t="inlineStr">
        <is>
          <t>Concluded without agreement</t>
        </is>
      </c>
      <c r="D285" t="inlineStr">
        <is>
          <t>Diabetes Mellitus, Type 2</t>
        </is>
      </c>
      <c r="E285" t="inlineStr">
        <is>
          <t>20947</t>
        </is>
      </c>
      <c r="F285" t="inlineStr">
        <is>
          <t>Eli Lilly Canada Inc.</t>
        </is>
      </c>
      <c r="G285" t="inlineStr">
        <is>
          <t>SR0462-000</t>
        </is>
      </c>
      <c r="H285">
        <v>42923</v>
      </c>
      <c r="I285" s="3">
        <v>43735</v>
      </c>
    </row>
    <row r="286">
      <c r="A286" s="2">
        <f>HYPERLINK("https://www.pcpacanada.ca/negotiation/20946", "Nucala  (mepolizumab)")</f>
        <v>0</v>
      </c>
      <c r="B286" t="inlineStr">
        <is>
          <t>GlaxoSmithKline</t>
        </is>
      </c>
      <c r="C286" t="inlineStr">
        <is>
          <t>Concluded with an LOI</t>
        </is>
      </c>
      <c r="D286" t="inlineStr">
        <is>
          <t>Severe Eosinophilic Asthma</t>
        </is>
      </c>
      <c r="E286" t="inlineStr">
        <is>
          <t>20946</t>
        </is>
      </c>
      <c r="F286" t="inlineStr">
        <is>
          <t>GlaxoSmithKline</t>
        </is>
      </c>
      <c r="G286" t="inlineStr">
        <is>
          <t>SR0461-000</t>
        </is>
      </c>
      <c r="H286">
        <v>42664</v>
      </c>
      <c r="I286" s="3">
        <v>43063</v>
      </c>
    </row>
    <row r="287">
      <c r="A287" s="2">
        <f>HYPERLINK("https://www.pcpacanada.ca/negotiation/20945", "Vimizim  (elosulfase alfa)")</f>
        <v>0</v>
      </c>
      <c r="B287" t="inlineStr">
        <is>
          <t>BioMarin Pharmaceutical Inc.</t>
        </is>
      </c>
      <c r="C287" t="inlineStr">
        <is>
          <t>Concluded with an LOI</t>
        </is>
      </c>
      <c r="D287" t="inlineStr">
        <is>
          <t>Mucopolysaccharidosis IVA (Morquio A syndrome)</t>
        </is>
      </c>
      <c r="E287" t="inlineStr">
        <is>
          <t>20945</t>
        </is>
      </c>
      <c r="F287" t="inlineStr">
        <is>
          <t>BioMarin Pharmaceutical Inc.</t>
        </is>
      </c>
      <c r="G287" t="inlineStr">
        <is>
          <t>SR0456-000</t>
        </is>
      </c>
      <c r="H287">
        <v>42671</v>
      </c>
      <c r="I287" s="3">
        <v>43433</v>
      </c>
    </row>
    <row r="288">
      <c r="A288" s="2">
        <f>HYPERLINK("https://www.pcpacanada.ca/negotiation/20944", "Xolair  (omalizumab)")</f>
        <v>0</v>
      </c>
      <c r="B288" t="inlineStr">
        <is>
          <t>Novartis Pharmaceuticals Canada Inc.</t>
        </is>
      </c>
      <c r="C288" t="inlineStr">
        <is>
          <t>Concluded without agreement</t>
        </is>
      </c>
      <c r="D288" t="inlineStr">
        <is>
          <t>Severe Persistent Asthma</t>
        </is>
      </c>
      <c r="E288" t="inlineStr">
        <is>
          <t>20944</t>
        </is>
      </c>
      <c r="F288" t="inlineStr">
        <is>
          <t>Novartis Pharmaceuticals Canada Inc.</t>
        </is>
      </c>
      <c r="G288" t="inlineStr">
        <is>
          <t>SR0457-000</t>
        </is>
      </c>
      <c r="H288">
        <v>42664</v>
      </c>
      <c r="I288" s="3">
        <v>43641</v>
      </c>
    </row>
    <row r="289">
      <c r="A289" s="2">
        <f>HYPERLINK("https://www.pcpacanada.ca/negotiation/20943", "Fycompa  (perampanel)")</f>
        <v>0</v>
      </c>
      <c r="B289" t="inlineStr">
        <is>
          <t>Eisai Limited</t>
        </is>
      </c>
      <c r="C289" t="inlineStr">
        <is>
          <t>Concluded with an LOI</t>
        </is>
      </c>
      <c r="D289" t="inlineStr">
        <is>
          <t>Epilepsy, primary generalized tonic-clonic seizures</t>
        </is>
      </c>
      <c r="E289" t="inlineStr">
        <is>
          <t>20943</t>
        </is>
      </c>
      <c r="F289" t="inlineStr">
        <is>
          <t>Eisai Limited</t>
        </is>
      </c>
      <c r="G289" t="inlineStr">
        <is>
          <t>SR0458-000</t>
        </is>
      </c>
      <c r="H289">
        <v>42597</v>
      </c>
      <c r="I289" s="3">
        <v>43648</v>
      </c>
    </row>
    <row r="290">
      <c r="A290" s="2">
        <f>HYPERLINK("https://www.pcpacanada.ca/negotiation/20942", "Pheburane  (sodium phenylbutyrate)")</f>
        <v>0</v>
      </c>
      <c r="B290" t="inlineStr">
        <is>
          <t>Médunik</t>
        </is>
      </c>
      <c r="C290" t="inlineStr">
        <is>
          <t>Concluded with an LOI</t>
        </is>
      </c>
      <c r="D290" t="inlineStr">
        <is>
          <t>Urea cycle disorders</t>
        </is>
      </c>
      <c r="E290" t="inlineStr">
        <is>
          <t>20942</t>
        </is>
      </c>
      <c r="F290" t="inlineStr">
        <is>
          <t>Médunik</t>
        </is>
      </c>
      <c r="G290" t="inlineStr">
        <is>
          <t>SR0452-000</t>
        </is>
      </c>
      <c r="H290">
        <v>42846</v>
      </c>
      <c r="I290" s="3">
        <v>43059</v>
      </c>
    </row>
    <row r="291">
      <c r="A291" s="2">
        <f>HYPERLINK("https://www.pcpacanada.ca/negotiation/20941", "Naglazyme  (galsulfase)")</f>
        <v>0</v>
      </c>
      <c r="B291" t="inlineStr">
        <is>
          <t>BioMarin Pharmaceutical Inc.</t>
        </is>
      </c>
      <c r="C291" t="inlineStr">
        <is>
          <t>Negotiations were not pursued</t>
        </is>
      </c>
      <c r="D291" t="inlineStr">
        <is>
          <t>Mucopolysaccharidosis VI</t>
        </is>
      </c>
      <c r="E291" t="inlineStr">
        <is>
          <t>20941</t>
        </is>
      </c>
      <c r="F291" t="inlineStr">
        <is>
          <t>BioMarin Pharmaceutical Inc.</t>
        </is>
      </c>
      <c r="G291" t="inlineStr">
        <is>
          <t>SR0434-000</t>
        </is>
      </c>
      <c r="H291">
        <v>42766</v>
      </c>
      <c r="I291" s="3">
        <v>42766</v>
      </c>
    </row>
    <row r="292">
      <c r="A292" s="2">
        <f>HYPERLINK("https://www.pcpacanada.ca/negotiation/20940", "Repatha  (evolocumab)")</f>
        <v>0</v>
      </c>
      <c r="B292" t="inlineStr">
        <is>
          <t>Amgen Canada Inc.</t>
        </is>
      </c>
      <c r="C292" t="inlineStr">
        <is>
          <t>Concluded with an LOI</t>
        </is>
      </c>
      <c r="D292" t="inlineStr">
        <is>
          <t>Primary hyperlipidemia and mixed dyslipidemia</t>
        </is>
      </c>
      <c r="E292" t="inlineStr">
        <is>
          <t>20940</t>
        </is>
      </c>
      <c r="F292" t="inlineStr">
        <is>
          <t>Amgen Canada Inc.</t>
        </is>
      </c>
      <c r="G292" t="inlineStr">
        <is>
          <t>SR0441-000</t>
        </is>
      </c>
      <c r="H292">
        <v>42608</v>
      </c>
      <c r="I292" s="3">
        <v>43031</v>
      </c>
    </row>
    <row r="293">
      <c r="A293" s="2">
        <f>HYPERLINK("https://www.pcpacanada.ca/negotiation/20939", "Prolia  (denosumab)")</f>
        <v>0</v>
      </c>
      <c r="B293" t="inlineStr">
        <is>
          <t>Amgen Canada Inc.</t>
        </is>
      </c>
      <c r="C293" t="inlineStr">
        <is>
          <t>Concluded with an LOI</t>
        </is>
      </c>
      <c r="D293" t="inlineStr">
        <is>
          <t>Osteoporosis in Men</t>
        </is>
      </c>
      <c r="E293" t="inlineStr">
        <is>
          <t>20939</t>
        </is>
      </c>
      <c r="F293" t="inlineStr">
        <is>
          <t>Amgen Canada Inc.</t>
        </is>
      </c>
      <c r="G293" t="inlineStr">
        <is>
          <t>SR0414-000</t>
        </is>
      </c>
      <c r="H293">
        <v>42347</v>
      </c>
      <c r="I293" s="3">
        <v>43025</v>
      </c>
    </row>
    <row r="294">
      <c r="A294" s="2">
        <f>HYPERLINK("https://www.pcpacanada.ca/negotiation/20938", "Kalydeco  (ivacaftor)")</f>
        <v>0</v>
      </c>
      <c r="B294" t="inlineStr">
        <is>
          <t>Vertex Pharmaceuticals (Canada) Incorporated</t>
        </is>
      </c>
      <c r="C294" t="inlineStr">
        <is>
          <t>Concluded without agreement</t>
        </is>
      </c>
      <c r="D294" t="inlineStr">
        <is>
          <t>Cystic Fibrosis (CFTR gating mutations)</t>
        </is>
      </c>
      <c r="E294" t="inlineStr">
        <is>
          <t>20938</t>
        </is>
      </c>
      <c r="F294" t="inlineStr">
        <is>
          <t>Vertex Pharmaceuticals (Canada) Incorporated</t>
        </is>
      </c>
      <c r="G294" t="inlineStr">
        <is>
          <t>SR0379-000</t>
        </is>
      </c>
      <c r="H294">
        <v>42031</v>
      </c>
      <c r="I294" s="3">
        <v>43032</v>
      </c>
    </row>
    <row r="295">
      <c r="A295" s="2">
        <f>HYPERLINK("https://www.pcpacanada.ca/negotiation/20937", "Truvada  (emtricitabine/tenofovir disoproxil fumarate)")</f>
        <v>0</v>
      </c>
      <c r="B295" t="inlineStr">
        <is>
          <t>Gilead Sciences Canada Inc.</t>
        </is>
      </c>
      <c r="C295" t="inlineStr">
        <is>
          <t>Negotiations were not pursued</t>
        </is>
      </c>
      <c r="D295" t="inlineStr">
        <is>
          <t>HIV infection, pre-exposure prophylaxis</t>
        </is>
      </c>
      <c r="E295" t="inlineStr">
        <is>
          <t>20937</t>
        </is>
      </c>
      <c r="F295" t="inlineStr">
        <is>
          <t>Gilead Sciences Canada Inc.</t>
        </is>
      </c>
      <c r="G295" t="inlineStr">
        <is>
          <t>SR0479-000</t>
        </is>
      </c>
      <c r="H295" t="inlineStr">
        <is>
          <t>Not Applicable</t>
        </is>
      </c>
      <c r="I295" s="3">
        <v>42986</v>
      </c>
    </row>
    <row r="296">
      <c r="A296" s="2">
        <f>HYPERLINK("https://www.pcpacanada.ca/negotiation/20936", "Strensiq  (asfotase alfa)")</f>
        <v>0</v>
      </c>
      <c r="B296" t="inlineStr">
        <is>
          <t>Alexion Pharma GMBH</t>
        </is>
      </c>
      <c r="C296" t="inlineStr">
        <is>
          <t>Concluded without agreement</t>
        </is>
      </c>
      <c r="D296" t="inlineStr">
        <is>
          <t>pediatric-onset hypophosphatasia</t>
        </is>
      </c>
      <c r="E296" t="inlineStr">
        <is>
          <t>20936</t>
        </is>
      </c>
      <c r="F296" t="inlineStr">
        <is>
          <t>Alexion Pharma GMBH</t>
        </is>
      </c>
      <c r="G296" t="inlineStr">
        <is>
          <t>Not Applicable</t>
        </is>
      </c>
      <c r="H296">
        <v>42551</v>
      </c>
      <c r="I296" s="3">
        <v>42775</v>
      </c>
    </row>
    <row r="297">
      <c r="A297" s="2">
        <f>HYPERLINK("https://www.pcpacanada.ca/negotiation/20935", "Tafinlar/Mekinist  (dabrafenib/trametinib)")</f>
        <v>0</v>
      </c>
      <c r="B297" t="inlineStr">
        <is>
          <t>Novartis Pharmaceuticals Canada Inc.</t>
        </is>
      </c>
      <c r="C297" t="inlineStr">
        <is>
          <t>Negotiations were not pursued</t>
        </is>
      </c>
      <c r="D297" t="inlineStr">
        <is>
          <t>Non-Small Cell Lung Cancer (with CNS metastases)</t>
        </is>
      </c>
      <c r="E297" t="inlineStr">
        <is>
          <t>20935</t>
        </is>
      </c>
      <c r="F297" t="inlineStr">
        <is>
          <t>Novartis Pharmaceuticals Canada Inc.</t>
        </is>
      </c>
      <c r="G297" t="inlineStr">
        <is>
          <t>Not Applicable</t>
        </is>
      </c>
      <c r="H297" t="inlineStr">
        <is>
          <t>Not Applicable</t>
        </is>
      </c>
      <c r="I297" s="3">
        <v>43069</v>
      </c>
    </row>
    <row r="298">
      <c r="A298" s="2">
        <f>HYPERLINK("https://www.pcpacanada.ca/negotiation/20934", "Giotrif  (afatinib)")</f>
        <v>0</v>
      </c>
      <c r="B298" t="inlineStr">
        <is>
          <t>Boehringer Ingelheim (Canada) Ltd. Ltee.</t>
        </is>
      </c>
      <c r="C298" t="inlineStr">
        <is>
          <t>Concluded with an LOI</t>
        </is>
      </c>
      <c r="D298" t="inlineStr">
        <is>
          <t>Advanced Non Small Cell Lung Cancer</t>
        </is>
      </c>
      <c r="E298" t="inlineStr">
        <is>
          <t>20934</t>
        </is>
      </c>
      <c r="F298" t="inlineStr">
        <is>
          <t>Boehringer Ingelheim (Canada) Ltd. Ltee.</t>
        </is>
      </c>
      <c r="G298" t="inlineStr">
        <is>
          <t>Not Applicable</t>
        </is>
      </c>
      <c r="H298">
        <v>42923</v>
      </c>
      <c r="I298" s="3">
        <v>43062</v>
      </c>
    </row>
    <row r="299">
      <c r="A299" s="2">
        <f>HYPERLINK("https://www.pcpacanada.ca/negotiation/20933", "Opdivo  (nivolumab)")</f>
        <v>0</v>
      </c>
      <c r="B299" t="inlineStr">
        <is>
          <t>Bristol Myers Squibb Canada Inc.</t>
        </is>
      </c>
      <c r="C299" t="inlineStr">
        <is>
          <t>Concluded with an LOI</t>
        </is>
      </c>
      <c r="D299" t="inlineStr">
        <is>
          <t>Squamos Cell Carcinoma of the Head and Neck</t>
        </is>
      </c>
      <c r="E299" t="inlineStr">
        <is>
          <t>20933</t>
        </is>
      </c>
      <c r="F299" t="inlineStr">
        <is>
          <t>Bristol Myers Squibb Canada Inc.</t>
        </is>
      </c>
      <c r="G299" t="inlineStr">
        <is>
          <t>pCODR 10095</t>
        </is>
      </c>
      <c r="H299">
        <v>43007</v>
      </c>
      <c r="I299" s="3">
        <v>43059</v>
      </c>
    </row>
    <row r="300">
      <c r="A300" s="2">
        <f>HYPERLINK("https://www.pcpacanada.ca/negotiation/20932", "Simponi IV  (golimumab)")</f>
        <v>0</v>
      </c>
      <c r="B300" t="inlineStr">
        <is>
          <t>Janssen Inc.</t>
        </is>
      </c>
      <c r="C300" t="inlineStr">
        <is>
          <t>Concluded without agreement</t>
        </is>
      </c>
      <c r="D300" t="inlineStr">
        <is>
          <t>Subacute and chronic inflammatory joint diseases</t>
        </is>
      </c>
      <c r="E300" t="inlineStr">
        <is>
          <t>20932</t>
        </is>
      </c>
      <c r="F300" t="inlineStr">
        <is>
          <t>Janssen Inc.</t>
        </is>
      </c>
      <c r="G300" t="inlineStr">
        <is>
          <t>Not Applicable</t>
        </is>
      </c>
      <c r="H300">
        <v>41918</v>
      </c>
      <c r="I300" s="3">
        <v>42479</v>
      </c>
    </row>
    <row r="301">
      <c r="A301" s="2">
        <f>HYPERLINK("https://www.pcpacanada.ca/negotiation/20931", "Stivarga  (regorafenib)")</f>
        <v>0</v>
      </c>
      <c r="B301" t="inlineStr">
        <is>
          <t>Bayer Inc.</t>
        </is>
      </c>
      <c r="C301" t="inlineStr">
        <is>
          <t>Concluded with an LOI</t>
        </is>
      </c>
      <c r="D301" t="inlineStr">
        <is>
          <t>Gastrointestinal Stromal Tumours</t>
        </is>
      </c>
      <c r="E301" t="inlineStr">
        <is>
          <t>20931</t>
        </is>
      </c>
      <c r="F301" t="inlineStr">
        <is>
          <t>Bayer Inc.</t>
        </is>
      </c>
      <c r="G301" t="inlineStr">
        <is>
          <t>Not Applicable</t>
        </is>
      </c>
      <c r="H301">
        <v>42958</v>
      </c>
      <c r="I301" s="3">
        <v>43048</v>
      </c>
    </row>
    <row r="302">
      <c r="A302" s="2">
        <f>HYPERLINK("https://www.pcpacanada.ca/negotiation/20930", "Basaglar  (insulin glargine)")</f>
        <v>0</v>
      </c>
      <c r="B302" t="inlineStr">
        <is>
          <t>Eli Lilly Canada Inc.</t>
        </is>
      </c>
      <c r="C302" t="inlineStr">
        <is>
          <t>Concluded with an LOI</t>
        </is>
      </c>
      <c r="D302" t="inlineStr">
        <is>
          <t>Diabetes Mellitus, Type 1 &amp; 2</t>
        </is>
      </c>
      <c r="E302" t="inlineStr">
        <is>
          <t>20930</t>
        </is>
      </c>
      <c r="F302" t="inlineStr">
        <is>
          <t>Eli Lilly Canada Inc.</t>
        </is>
      </c>
      <c r="G302" t="inlineStr">
        <is>
          <t>SE0451-000</t>
        </is>
      </c>
      <c r="H302">
        <v>42536</v>
      </c>
      <c r="I302" s="3">
        <v>42923</v>
      </c>
    </row>
    <row r="303">
      <c r="A303" s="2">
        <f>HYPERLINK("https://www.pcpacanada.ca/negotiation/20929", "Mifegymiso  (mifepristone and misoprostol)")</f>
        <v>0</v>
      </c>
      <c r="B303" t="inlineStr">
        <is>
          <t>Celopharma</t>
        </is>
      </c>
      <c r="C303" t="inlineStr">
        <is>
          <t>Concluded with an LOI</t>
        </is>
      </c>
      <c r="D303" t="inlineStr">
        <is>
          <t>Medical termination of pregnancy</t>
        </is>
      </c>
      <c r="E303" t="inlineStr">
        <is>
          <t>20929</t>
        </is>
      </c>
      <c r="F303" t="inlineStr">
        <is>
          <t>Celopharma</t>
        </is>
      </c>
      <c r="G303" t="inlineStr">
        <is>
          <t>SR0502</t>
        </is>
      </c>
      <c r="H303">
        <v>42846</v>
      </c>
      <c r="I303" s="3">
        <v>42921</v>
      </c>
    </row>
    <row r="304">
      <c r="A304" s="2">
        <f>HYPERLINK("https://www.pcpacanada.ca/negotiation/20928", "Keytruda  (pembrolizumab)")</f>
        <v>0</v>
      </c>
      <c r="B304" t="inlineStr">
        <is>
          <t>Merck Canada Inc.</t>
        </is>
      </c>
      <c r="C304" t="inlineStr">
        <is>
          <t>Concluded with an LOI</t>
        </is>
      </c>
      <c r="D304" t="inlineStr">
        <is>
          <t>Non-small Cell Lung Cancer</t>
        </is>
      </c>
      <c r="E304" t="inlineStr">
        <is>
          <t>20928</t>
        </is>
      </c>
      <c r="F304" t="inlineStr">
        <is>
          <t>Merck Canada Inc.</t>
        </is>
      </c>
      <c r="G304" t="inlineStr">
        <is>
          <t>pCODR 10101</t>
        </is>
      </c>
      <c r="H304">
        <v>42986</v>
      </c>
      <c r="I304" s="3">
        <v>43040</v>
      </c>
    </row>
    <row r="305">
      <c r="A305" s="2">
        <f>HYPERLINK("https://www.pcpacanada.ca/negotiation/20927", "Keytruda  (pembrolizumab)")</f>
        <v>0</v>
      </c>
      <c r="B305" t="inlineStr">
        <is>
          <t>Merck Canada Inc.</t>
        </is>
      </c>
      <c r="C305" t="inlineStr">
        <is>
          <t>Concluded with an LOI</t>
        </is>
      </c>
      <c r="D305" t="inlineStr">
        <is>
          <t>Non-small Cell Lung Cancer</t>
        </is>
      </c>
      <c r="E305" t="inlineStr">
        <is>
          <t>20927</t>
        </is>
      </c>
      <c r="F305" t="inlineStr">
        <is>
          <t>Merck Canada Inc.</t>
        </is>
      </c>
      <c r="G305" t="inlineStr">
        <is>
          <t>pCODR 10077</t>
        </is>
      </c>
      <c r="H305">
        <v>42765</v>
      </c>
      <c r="I305" s="3">
        <v>43040</v>
      </c>
    </row>
    <row r="306">
      <c r="A306" s="2">
        <f>HYPERLINK("https://www.pcpacanada.ca/negotiation/20926", "Neupro  (rotigotine)")</f>
        <v>0</v>
      </c>
      <c r="B306" t="inlineStr">
        <is>
          <t>UCB Canada Inc.</t>
        </is>
      </c>
      <c r="C306" t="inlineStr">
        <is>
          <t>Concluded with an LOI</t>
        </is>
      </c>
      <c r="D306" t="inlineStr">
        <is>
          <t>Parkinson's Disease</t>
        </is>
      </c>
      <c r="E306" t="inlineStr">
        <is>
          <t>20926</t>
        </is>
      </c>
      <c r="F306" t="inlineStr">
        <is>
          <t>UCB Canada Inc.</t>
        </is>
      </c>
      <c r="G306" t="inlineStr">
        <is>
          <t>SR0432-000</t>
        </is>
      </c>
      <c r="H306">
        <v>42409</v>
      </c>
      <c r="I306" s="3">
        <v>42909</v>
      </c>
    </row>
    <row r="307">
      <c r="A307" s="2">
        <f>HYPERLINK("https://www.pcpacanada.ca/negotiation/20925", "Brenzys  (etanercept)")</f>
        <v>0</v>
      </c>
      <c r="B307" t="inlineStr">
        <is>
          <t>Merck Canada Inc.</t>
        </is>
      </c>
      <c r="C307" t="inlineStr">
        <is>
          <t>Concluded with an LOI</t>
        </is>
      </c>
      <c r="D307" t="inlineStr">
        <is>
          <t>Rheumatoid Arthritis and Ankylosing Spondylitis</t>
        </is>
      </c>
      <c r="E307" t="inlineStr">
        <is>
          <t>20925</t>
        </is>
      </c>
      <c r="F307" t="inlineStr">
        <is>
          <t>Merck Canada Inc.</t>
        </is>
      </c>
      <c r="G307" t="inlineStr">
        <is>
          <t>SE0485-000</t>
        </is>
      </c>
      <c r="H307">
        <v>42688</v>
      </c>
      <c r="I307" s="3">
        <v>42905</v>
      </c>
    </row>
    <row r="308">
      <c r="A308" s="2">
        <f>HYPERLINK("https://www.pcpacanada.ca/negotiation/20924", "Afinitor  (everolimus)")</f>
        <v>0</v>
      </c>
      <c r="B308" t="inlineStr">
        <is>
          <t>Novartis Pharmaceuticals Canada Inc.</t>
        </is>
      </c>
      <c r="C308" t="inlineStr">
        <is>
          <t>Concluded with an LOI</t>
        </is>
      </c>
      <c r="D308" t="inlineStr">
        <is>
          <t>Neuroendocrine tumours of Gastrointestinal or Lung origin</t>
        </is>
      </c>
      <c r="E308" t="inlineStr">
        <is>
          <t>20924</t>
        </is>
      </c>
      <c r="F308" t="inlineStr">
        <is>
          <t>Novartis Pharmaceuticals Canada Inc.</t>
        </is>
      </c>
      <c r="G308" t="inlineStr">
        <is>
          <t>pCODR 10083</t>
        </is>
      </c>
      <c r="H308">
        <v>42825</v>
      </c>
      <c r="I308" s="3">
        <v>42979</v>
      </c>
    </row>
    <row r="309">
      <c r="A309" s="2">
        <f>HYPERLINK("https://www.pcpacanada.ca/negotiation/20923", "XigDuo  (dapagliflozin/metformin hydrochloride)")</f>
        <v>0</v>
      </c>
      <c r="B309" t="inlineStr">
        <is>
          <t>AstraZeneca Canada Inc.</t>
        </is>
      </c>
      <c r="C309" t="inlineStr">
        <is>
          <t>Concluded with an LOI</t>
        </is>
      </c>
      <c r="D309" t="inlineStr">
        <is>
          <t>Diabetes Mellitus, Type 2</t>
        </is>
      </c>
      <c r="E309" t="inlineStr">
        <is>
          <t>20923</t>
        </is>
      </c>
      <c r="F309" t="inlineStr">
        <is>
          <t>AstraZeneca Canada Inc.</t>
        </is>
      </c>
      <c r="G309" t="inlineStr">
        <is>
          <t>SR0468-000</t>
        </is>
      </c>
      <c r="H309">
        <v>42838</v>
      </c>
      <c r="I309" s="3">
        <v>42899</v>
      </c>
    </row>
    <row r="310">
      <c r="A310" s="2">
        <f>HYPERLINK("https://www.pcpacanada.ca/negotiation/20922", "Humira  (adalimumab)")</f>
        <v>0</v>
      </c>
      <c r="B310" t="inlineStr">
        <is>
          <t>AbbVie Corporation</t>
        </is>
      </c>
      <c r="C310" t="inlineStr">
        <is>
          <t>Concluded with an LOI</t>
        </is>
      </c>
      <c r="D310" t="inlineStr">
        <is>
          <t>Ulcerative Colitis</t>
        </is>
      </c>
      <c r="E310" t="inlineStr">
        <is>
          <t>20922</t>
        </is>
      </c>
      <c r="F310" t="inlineStr">
        <is>
          <t>AbbVie Corporation</t>
        </is>
      </c>
      <c r="G310" t="inlineStr">
        <is>
          <t>SR0450-000</t>
        </is>
      </c>
      <c r="H310">
        <v>42521</v>
      </c>
      <c r="I310" s="3">
        <v>42878</v>
      </c>
    </row>
    <row r="311">
      <c r="A311" s="2">
        <f>HYPERLINK("https://www.pcpacanada.ca/negotiation/20921", "Avastin  (bevacizumab)")</f>
        <v>0</v>
      </c>
      <c r="B311" t="inlineStr">
        <is>
          <t>Hoffmann-La Roche</t>
        </is>
      </c>
      <c r="C311" t="inlineStr">
        <is>
          <t>Concluded with an LOI</t>
        </is>
      </c>
      <c r="D311" t="inlineStr">
        <is>
          <t>Platinum-Resistant Ovarian Cancer</t>
        </is>
      </c>
      <c r="E311" t="inlineStr">
        <is>
          <t>20921</t>
        </is>
      </c>
      <c r="F311" t="inlineStr">
        <is>
          <t>Hoffmann-La Roche</t>
        </is>
      </c>
      <c r="G311" t="inlineStr">
        <is>
          <t>pCODR 10066</t>
        </is>
      </c>
      <c r="H311">
        <v>42566</v>
      </c>
      <c r="I311" s="3">
        <v>42968</v>
      </c>
    </row>
    <row r="312">
      <c r="A312" s="2">
        <f>HYPERLINK("https://www.pcpacanada.ca/negotiation/20920", "Avastin  (bevacizumab)")</f>
        <v>0</v>
      </c>
      <c r="B312" t="inlineStr">
        <is>
          <t>Hoffmann-La Roche</t>
        </is>
      </c>
      <c r="C312" t="inlineStr">
        <is>
          <t>Concluded with an LOI</t>
        </is>
      </c>
      <c r="D312" t="inlineStr">
        <is>
          <t>Metastatic Colorectal Cancer</t>
        </is>
      </c>
      <c r="E312" t="inlineStr">
        <is>
          <t>20920</t>
        </is>
      </c>
      <c r="F312" t="inlineStr">
        <is>
          <t>Hoffmann-La Roche</t>
        </is>
      </c>
      <c r="G312" t="inlineStr">
        <is>
          <t>Not Applicable</t>
        </is>
      </c>
      <c r="H312">
        <v>42389</v>
      </c>
      <c r="I312" s="3">
        <v>42968</v>
      </c>
    </row>
    <row r="313">
      <c r="A313" s="2">
        <f>HYPERLINK("https://www.pcpacanada.ca/negotiation/20919", "Sublinox  (zolpidem tartrate)")</f>
        <v>0</v>
      </c>
      <c r="B313" t="inlineStr">
        <is>
          <t>Valeant Canada</t>
        </is>
      </c>
      <c r="C313" t="inlineStr">
        <is>
          <t>Negotiations were not pursued</t>
        </is>
      </c>
      <c r="D313" t="inlineStr">
        <is>
          <t>Insomnia, short-term treatment</t>
        </is>
      </c>
      <c r="E313" t="inlineStr">
        <is>
          <t>20919</t>
        </is>
      </c>
      <c r="F313" t="inlineStr">
        <is>
          <t>Valeant Canada</t>
        </is>
      </c>
      <c r="G313" t="inlineStr">
        <is>
          <t>SR0314</t>
        </is>
      </c>
      <c r="H313" t="inlineStr">
        <is>
          <t>Not Applicable</t>
        </is>
      </c>
      <c r="I313" s="3">
        <v>41571</v>
      </c>
    </row>
    <row r="314">
      <c r="A314" s="2">
        <f>HYPERLINK("https://www.pcpacanada.ca/negotiation/20918", "Ninlaro  (ixazomib)")</f>
        <v>0</v>
      </c>
      <c r="B314" t="inlineStr">
        <is>
          <t>Takeda Canada Inc.</t>
        </is>
      </c>
      <c r="C314" t="inlineStr">
        <is>
          <t>Negotiations were not pursued</t>
        </is>
      </c>
      <c r="D314" t="inlineStr">
        <is>
          <t>Multiple Myeloma</t>
        </is>
      </c>
      <c r="E314" t="inlineStr">
        <is>
          <t>20918</t>
        </is>
      </c>
      <c r="F314" t="inlineStr">
        <is>
          <t>Takeda Canada Inc.</t>
        </is>
      </c>
      <c r="G314" t="inlineStr">
        <is>
          <t>pCODR 10088</t>
        </is>
      </c>
      <c r="H314" t="inlineStr">
        <is>
          <t>Not Applicable</t>
        </is>
      </c>
      <c r="I314" s="3">
        <v>42965</v>
      </c>
    </row>
    <row r="315">
      <c r="A315" s="2">
        <f>HYPERLINK("https://www.pcpacanada.ca/negotiation/20917", "Eylea  (aflibercept)")</f>
        <v>0</v>
      </c>
      <c r="B315" t="inlineStr">
        <is>
          <t>Bayer Inc.</t>
        </is>
      </c>
      <c r="C315" t="inlineStr">
        <is>
          <t>Concluded with an LOI</t>
        </is>
      </c>
      <c r="D315" t="inlineStr">
        <is>
          <t>Macular edema secondary to branch retinal vein occlusion</t>
        </is>
      </c>
      <c r="E315" t="inlineStr">
        <is>
          <t>20917</t>
        </is>
      </c>
      <c r="F315" t="inlineStr">
        <is>
          <t>Bayer Inc.</t>
        </is>
      </c>
      <c r="G315" t="inlineStr">
        <is>
          <t>SR0460-000</t>
        </is>
      </c>
      <c r="H315">
        <v>42788</v>
      </c>
      <c r="I315" s="3">
        <v>42807</v>
      </c>
    </row>
    <row r="316">
      <c r="A316" s="2">
        <f>HYPERLINK("https://www.pcpacanada.ca/negotiation/20916", "Genvoya  (elvitegravir/cobicistat/emtricitabine/tenofovir alafenamide)")</f>
        <v>0</v>
      </c>
      <c r="B316" t="inlineStr">
        <is>
          <t>Gilead Sciences Canada Inc.</t>
        </is>
      </c>
      <c r="C316" t="inlineStr">
        <is>
          <t>Concluded with an LOI</t>
        </is>
      </c>
      <c r="D316" t="inlineStr">
        <is>
          <t>HIV infection</t>
        </is>
      </c>
      <c r="E316" t="inlineStr">
        <is>
          <t>20916</t>
        </is>
      </c>
      <c r="F316" t="inlineStr">
        <is>
          <t>Gilead Sciences Canada Inc.</t>
        </is>
      </c>
      <c r="G316" t="inlineStr">
        <is>
          <t>SR0449-000</t>
        </is>
      </c>
      <c r="H316">
        <v>42597</v>
      </c>
      <c r="I316" s="3">
        <v>42807</v>
      </c>
    </row>
    <row r="317">
      <c r="A317" s="2">
        <f>HYPERLINK("https://www.pcpacanada.ca/negotiation/20915", "Entresto  (sacubitril/valsartan)")</f>
        <v>0</v>
      </c>
      <c r="B317" t="inlineStr">
        <is>
          <t>Novartis Pharmaceuticals Canada Inc.</t>
        </is>
      </c>
      <c r="C317" t="inlineStr">
        <is>
          <t>Concluded with an LOI</t>
        </is>
      </c>
      <c r="D317" t="inlineStr">
        <is>
          <t>Heart failure, NYHA class II or III</t>
        </is>
      </c>
      <c r="E317" t="inlineStr">
        <is>
          <t>20915</t>
        </is>
      </c>
      <c r="F317" t="inlineStr">
        <is>
          <t>Novartis Pharmaceuticals Canada Inc.</t>
        </is>
      </c>
      <c r="G317" t="inlineStr">
        <is>
          <t>SR0447-000</t>
        </is>
      </c>
      <c r="H317">
        <v>42551</v>
      </c>
      <c r="I317" s="3">
        <v>42800</v>
      </c>
    </row>
    <row r="318">
      <c r="A318" s="2">
        <f>HYPERLINK("https://www.pcpacanada.ca/negotiation/20914", "Entyvio  (vedolizumab)")</f>
        <v>0</v>
      </c>
      <c r="B318" t="inlineStr">
        <is>
          <t>Takeda Canada Inc.</t>
        </is>
      </c>
      <c r="C318" t="inlineStr">
        <is>
          <t>Concluded with an LOI</t>
        </is>
      </c>
      <c r="D318" t="inlineStr">
        <is>
          <t>Crohn's disease</t>
        </is>
      </c>
      <c r="E318" t="inlineStr">
        <is>
          <t>20914</t>
        </is>
      </c>
      <c r="F318" t="inlineStr">
        <is>
          <t>Takeda Canada Inc.</t>
        </is>
      </c>
      <c r="G318" t="inlineStr">
        <is>
          <t>SR0487-000</t>
        </is>
      </c>
      <c r="H318">
        <v>42682</v>
      </c>
      <c r="I318" s="3">
        <v>42797</v>
      </c>
    </row>
    <row r="319">
      <c r="A319" s="2">
        <f>HYPERLINK("https://www.pcpacanada.ca/negotiation/20913", "Entyvio  (vedolizumab)")</f>
        <v>0</v>
      </c>
      <c r="B319" t="inlineStr">
        <is>
          <t>Takeda Canada Inc.</t>
        </is>
      </c>
      <c r="C319" t="inlineStr">
        <is>
          <t>Concluded with an LOI</t>
        </is>
      </c>
      <c r="D319" t="inlineStr">
        <is>
          <t>Ulcerative Colitis</t>
        </is>
      </c>
      <c r="E319" t="inlineStr">
        <is>
          <t>20913</t>
        </is>
      </c>
      <c r="F319" t="inlineStr">
        <is>
          <t>Takeda Canada Inc.</t>
        </is>
      </c>
      <c r="G319" t="inlineStr">
        <is>
          <t>SR0421-000</t>
        </is>
      </c>
      <c r="H319">
        <v>42516</v>
      </c>
      <c r="I319" s="3">
        <v>42797</v>
      </c>
    </row>
    <row r="320">
      <c r="A320" s="2">
        <f>HYPERLINK("https://www.pcpacanada.ca/negotiation/20912", "Epclusa  (sofosbuvir/velpatasvir)")</f>
        <v>0</v>
      </c>
      <c r="B320" t="inlineStr">
        <is>
          <t>Gilead Sciences Canada Inc.</t>
        </is>
      </c>
      <c r="C320" t="inlineStr">
        <is>
          <t>Concluded with an LOI</t>
        </is>
      </c>
      <c r="D320" t="inlineStr">
        <is>
          <t>Chronic Hepatitis C</t>
        </is>
      </c>
      <c r="E320" t="inlineStr">
        <is>
          <t>20912</t>
        </is>
      </c>
      <c r="F320" t="inlineStr">
        <is>
          <t>Gilead Sciences Canada Inc.</t>
        </is>
      </c>
      <c r="G320" t="inlineStr">
        <is>
          <t>SR0486-000</t>
        </is>
      </c>
      <c r="H320">
        <v>42669</v>
      </c>
      <c r="I320" s="3">
        <v>42783</v>
      </c>
    </row>
    <row r="321">
      <c r="A321" s="2">
        <f>HYPERLINK("https://www.pcpacanada.ca/negotiation/20911", "Sunvepra  (asunaprevir)")</f>
        <v>0</v>
      </c>
      <c r="B321" t="inlineStr">
        <is>
          <t>Bristol Myers Squibb Canada Inc.</t>
        </is>
      </c>
      <c r="C321" t="inlineStr">
        <is>
          <t>Concluded with an LOI</t>
        </is>
      </c>
      <c r="D321" t="inlineStr">
        <is>
          <t>Chronic Hepatitis C</t>
        </is>
      </c>
      <c r="E321" t="inlineStr">
        <is>
          <t>20911</t>
        </is>
      </c>
      <c r="F321" t="inlineStr">
        <is>
          <t>Bristol Myers Squibb Canada Inc.</t>
        </is>
      </c>
      <c r="G321" t="inlineStr">
        <is>
          <t>SR0418-000</t>
        </is>
      </c>
      <c r="H321">
        <v>42571</v>
      </c>
      <c r="I321" s="3">
        <v>42783</v>
      </c>
    </row>
    <row r="322">
      <c r="A322" s="2">
        <f>HYPERLINK("https://www.pcpacanada.ca/negotiation/20910", "Zepatier  (elbasvir/grazoprevir)")</f>
        <v>0</v>
      </c>
      <c r="B322" t="inlineStr">
        <is>
          <t>Merck Canada Inc.</t>
        </is>
      </c>
      <c r="C322" t="inlineStr">
        <is>
          <t>Concluded with an LOI</t>
        </is>
      </c>
      <c r="D322" t="inlineStr">
        <is>
          <t>Chronic Hepatitis C</t>
        </is>
      </c>
      <c r="E322" t="inlineStr">
        <is>
          <t>20910</t>
        </is>
      </c>
      <c r="F322" t="inlineStr">
        <is>
          <t>Merck Canada Inc.</t>
        </is>
      </c>
      <c r="G322" t="inlineStr">
        <is>
          <t>SR0454-000</t>
        </is>
      </c>
      <c r="H322">
        <v>42474</v>
      </c>
      <c r="I322" s="3">
        <v>42783</v>
      </c>
    </row>
    <row r="323">
      <c r="A323" s="2">
        <f>HYPERLINK("https://www.pcpacanada.ca/negotiation/20909", "Otezla  (apremilast)")</f>
        <v>0</v>
      </c>
      <c r="B323" t="inlineStr">
        <is>
          <t>Celgene Inc.</t>
        </is>
      </c>
      <c r="C323" t="inlineStr">
        <is>
          <t>Concluded without agreement</t>
        </is>
      </c>
      <c r="D323" t="inlineStr">
        <is>
          <t>Psoriatic Arthritis</t>
        </is>
      </c>
      <c r="E323" t="inlineStr">
        <is>
          <t>20909</t>
        </is>
      </c>
      <c r="F323" t="inlineStr">
        <is>
          <t>Celgene Inc.</t>
        </is>
      </c>
      <c r="G323" t="inlineStr">
        <is>
          <t>SR0437-000</t>
        </is>
      </c>
      <c r="H323">
        <v>42912</v>
      </c>
      <c r="I323" s="3">
        <v>42986</v>
      </c>
    </row>
    <row r="324">
      <c r="A324" s="2">
        <f>HYPERLINK("https://www.pcpacanada.ca/negotiation/20908", "Plegridy  (peginterferon beta-1a)")</f>
        <v>0</v>
      </c>
      <c r="B324" t="inlineStr">
        <is>
          <t>Biogen Canada Inc.</t>
        </is>
      </c>
      <c r="C324" t="inlineStr">
        <is>
          <t>Concluded with an LOI</t>
        </is>
      </c>
      <c r="D324" t="inlineStr">
        <is>
          <t>Multiple Sclerosis, relapsing</t>
        </is>
      </c>
      <c r="E324" t="inlineStr">
        <is>
          <t>20908</t>
        </is>
      </c>
      <c r="F324" t="inlineStr">
        <is>
          <t>Biogen Canada Inc.</t>
        </is>
      </c>
      <c r="G324" t="inlineStr">
        <is>
          <t>SR0440-000</t>
        </is>
      </c>
      <c r="H324">
        <v>42538</v>
      </c>
      <c r="I324" s="3">
        <v>42780</v>
      </c>
    </row>
    <row r="325">
      <c r="A325" s="2">
        <f>HYPERLINK("https://www.pcpacanada.ca/negotiation/20907", "Opsumit  (macitentan)")</f>
        <v>0</v>
      </c>
      <c r="B325" t="inlineStr">
        <is>
          <t>Actelion Pharmaceuticals Ltd.</t>
        </is>
      </c>
      <c r="C325" t="inlineStr">
        <is>
          <t>Concluded without agreement</t>
        </is>
      </c>
      <c r="D325" t="inlineStr">
        <is>
          <t>Pulmonary Arterial Hypertension</t>
        </is>
      </c>
      <c r="E325" t="inlineStr">
        <is>
          <t>20907</t>
        </is>
      </c>
      <c r="F325" t="inlineStr">
        <is>
          <t>Actelion Pharmaceuticals Ltd.</t>
        </is>
      </c>
      <c r="G325" t="inlineStr">
        <is>
          <t>SR0364</t>
        </is>
      </c>
      <c r="H325">
        <v>42088</v>
      </c>
      <c r="I325" s="3">
        <v>42356</v>
      </c>
    </row>
    <row r="326">
      <c r="A326" s="2">
        <f>HYPERLINK("https://www.pcpacanada.ca/negotiation/20906", "Caprelsa  (vandetanib)")</f>
        <v>0</v>
      </c>
      <c r="B326" t="inlineStr">
        <is>
          <t>Sanofi Genzyme Canada</t>
        </is>
      </c>
      <c r="C326" t="inlineStr">
        <is>
          <t>Concluded without agreement</t>
        </is>
      </c>
      <c r="D326" t="inlineStr">
        <is>
          <t>Medullary Thyroid Cancer</t>
        </is>
      </c>
      <c r="E326" t="inlineStr">
        <is>
          <t>20906</t>
        </is>
      </c>
      <c r="F326" t="inlineStr">
        <is>
          <t>Sanofi Genzyme Canada</t>
        </is>
      </c>
      <c r="G326" t="inlineStr">
        <is>
          <t>pCODR 10090</t>
        </is>
      </c>
      <c r="H326">
        <v>42888</v>
      </c>
      <c r="I326" s="3">
        <v>42963</v>
      </c>
    </row>
    <row r="327">
      <c r="A327" s="2">
        <f>HYPERLINK("https://www.pcpacanada.ca/negotiation/20905", "Jakavi  (ruxolintib)")</f>
        <v>0</v>
      </c>
      <c r="B327" t="inlineStr">
        <is>
          <t>Novartis Pharmaceuticals Canada Inc.</t>
        </is>
      </c>
      <c r="C327" t="inlineStr">
        <is>
          <t>Concluded with an LOI</t>
        </is>
      </c>
      <c r="D327" t="inlineStr">
        <is>
          <t>Polycythemia vera</t>
        </is>
      </c>
      <c r="E327" t="inlineStr">
        <is>
          <t>20905</t>
        </is>
      </c>
      <c r="F327" t="inlineStr">
        <is>
          <t>Novartis Pharmaceuticals Canada Inc.</t>
        </is>
      </c>
      <c r="G327" t="inlineStr">
        <is>
          <t>pCODR 10065</t>
        </is>
      </c>
      <c r="H327">
        <v>42551</v>
      </c>
      <c r="I327" s="3">
        <v>42955</v>
      </c>
    </row>
    <row r="328">
      <c r="A328" s="2">
        <f>HYPERLINK("https://www.pcpacanada.ca/negotiation/20904", "Alecensaro  (alectinib)")</f>
        <v>0</v>
      </c>
      <c r="B328" t="inlineStr">
        <is>
          <t>Hoffmann-La Roche</t>
        </is>
      </c>
      <c r="C328" t="inlineStr">
        <is>
          <t>Negotiations were not pursued</t>
        </is>
      </c>
      <c r="D328" t="inlineStr">
        <is>
          <t>Non-Small Cell Lung Cancer (with CNS metastases)</t>
        </is>
      </c>
      <c r="E328" t="inlineStr">
        <is>
          <t>20904</t>
        </is>
      </c>
      <c r="F328" t="inlineStr">
        <is>
          <t>Hoffmann-La Roche</t>
        </is>
      </c>
      <c r="G328" t="inlineStr">
        <is>
          <t>pCODR 10092</t>
        </is>
      </c>
      <c r="H328" t="inlineStr">
        <is>
          <t>Not Applicable</t>
        </is>
      </c>
      <c r="I328" s="3">
        <v>42947</v>
      </c>
    </row>
    <row r="329">
      <c r="A329" s="2">
        <f>HYPERLINK("https://www.pcpacanada.ca/negotiation/20903", "Stelara  (ustekinumab)")</f>
        <v>0</v>
      </c>
      <c r="B329" t="inlineStr">
        <is>
          <t>Janssen Inc.</t>
        </is>
      </c>
      <c r="C329" t="inlineStr">
        <is>
          <t>Negotiations were not pursued</t>
        </is>
      </c>
      <c r="D329" t="inlineStr">
        <is>
          <t>Psoriatic Arthritis</t>
        </is>
      </c>
      <c r="E329" t="inlineStr">
        <is>
          <t>20903</t>
        </is>
      </c>
      <c r="F329" t="inlineStr">
        <is>
          <t>Janssen Inc.</t>
        </is>
      </c>
      <c r="G329" t="inlineStr">
        <is>
          <t>SR0359-000</t>
        </is>
      </c>
      <c r="H329" t="inlineStr">
        <is>
          <t>Not Applicable</t>
        </is>
      </c>
      <c r="I329" s="3">
        <v>41970</v>
      </c>
    </row>
    <row r="330">
      <c r="A330" s="2">
        <f>HYPERLINK("https://www.pcpacanada.ca/negotiation/20902", "Votrient  (pazopanib hydrochloride)")</f>
        <v>0</v>
      </c>
      <c r="B330" t="inlineStr">
        <is>
          <t>GlaxoSmithKline</t>
        </is>
      </c>
      <c r="C330" t="inlineStr">
        <is>
          <t>Concluded with an LOI</t>
        </is>
      </c>
      <c r="D330" t="inlineStr">
        <is>
          <t>Metastatic Renal Cell Carcinoma</t>
        </is>
      </c>
      <c r="E330" t="inlineStr">
        <is>
          <t>20902</t>
        </is>
      </c>
      <c r="F330" t="inlineStr">
        <is>
          <t>GlaxoSmithKline</t>
        </is>
      </c>
      <c r="G330" t="inlineStr">
        <is>
          <t>Not Applicable</t>
        </is>
      </c>
      <c r="H330">
        <v>42825</v>
      </c>
      <c r="I330" s="3">
        <v>42919</v>
      </c>
    </row>
    <row r="331">
      <c r="A331" s="2">
        <f>HYPERLINK("https://www.pcpacanada.ca/negotiation/20901", "Signifor  (pasireotide diaspartate)")</f>
        <v>0</v>
      </c>
      <c r="B331" t="inlineStr">
        <is>
          <t>Novartis Pharmaceuticals Canada Inc.</t>
        </is>
      </c>
      <c r="C331" t="inlineStr">
        <is>
          <t>Negotiations were not pursued</t>
        </is>
      </c>
      <c r="D331" t="inlineStr">
        <is>
          <t>Cushing's disease</t>
        </is>
      </c>
      <c r="E331" t="inlineStr">
        <is>
          <t>20901</t>
        </is>
      </c>
      <c r="F331" t="inlineStr">
        <is>
          <t>Novartis Pharmaceuticals Canada Inc.</t>
        </is>
      </c>
      <c r="G331" t="inlineStr">
        <is>
          <t>SR0372-000</t>
        </is>
      </c>
      <c r="H331" t="inlineStr">
        <is>
          <t>Not Applicable</t>
        </is>
      </c>
      <c r="I331" s="3">
        <v>42124</v>
      </c>
    </row>
    <row r="332">
      <c r="A332" s="2">
        <f>HYPERLINK("https://www.pcpacanada.ca/negotiation/20900", "Samsca  (tolvaptan)")</f>
        <v>0</v>
      </c>
      <c r="B332" t="inlineStr">
        <is>
          <t>Otsuka Canada Pharmaceuticals</t>
        </is>
      </c>
      <c r="C332" t="inlineStr">
        <is>
          <t>Negotiations were not pursued</t>
        </is>
      </c>
      <c r="D332" t="inlineStr">
        <is>
          <t>Hyponatremia, non-hypovolemic</t>
        </is>
      </c>
      <c r="E332" t="inlineStr">
        <is>
          <t>20900</t>
        </is>
      </c>
      <c r="F332" t="inlineStr">
        <is>
          <t>Otsuka Canada Pharmaceuticals</t>
        </is>
      </c>
      <c r="G332" t="inlineStr">
        <is>
          <t>SR0283</t>
        </is>
      </c>
      <c r="H332" t="inlineStr">
        <is>
          <t>Not Applicable</t>
        </is>
      </c>
      <c r="I332" s="3">
        <v>41670</v>
      </c>
    </row>
    <row r="333">
      <c r="A333" s="2">
        <f>HYPERLINK("https://www.pcpacanada.ca/negotiation/20899", "Imbruvica  (ibrutinib)")</f>
        <v>0</v>
      </c>
      <c r="B333" t="inlineStr">
        <is>
          <t>Janssen Inc.</t>
        </is>
      </c>
      <c r="C333" t="inlineStr">
        <is>
          <t>Concluded with an LOI</t>
        </is>
      </c>
      <c r="D333" t="inlineStr">
        <is>
          <t>Chronic Lymphocytic Leukemia</t>
        </is>
      </c>
      <c r="E333" t="inlineStr">
        <is>
          <t>20899</t>
        </is>
      </c>
      <c r="F333" t="inlineStr">
        <is>
          <t>Janssen Inc.</t>
        </is>
      </c>
      <c r="G333" t="inlineStr">
        <is>
          <t>pCODR 10082</t>
        </is>
      </c>
      <c r="H333">
        <v>42724</v>
      </c>
      <c r="I333" s="3">
        <v>42913</v>
      </c>
    </row>
    <row r="334">
      <c r="A334" s="2">
        <f>HYPERLINK("https://www.pcpacanada.ca/negotiation/20898", "Grastofil  (filgrastim)")</f>
        <v>0</v>
      </c>
      <c r="B334" t="inlineStr">
        <is>
          <t>ApoPharm Inc.</t>
        </is>
      </c>
      <c r="C334" t="inlineStr">
        <is>
          <t>Concluded with an LOI</t>
        </is>
      </c>
      <c r="D334" t="inlineStr">
        <is>
          <t>Prevention or treatment of neutropenia in various indications</t>
        </is>
      </c>
      <c r="E334" t="inlineStr">
        <is>
          <t>20898</t>
        </is>
      </c>
      <c r="F334" t="inlineStr">
        <is>
          <t>ApoPharm Inc.</t>
        </is>
      </c>
      <c r="G334" t="inlineStr">
        <is>
          <t>SE0446-000</t>
        </is>
      </c>
      <c r="H334">
        <v>42536</v>
      </c>
      <c r="I334" s="3">
        <v>42716</v>
      </c>
    </row>
    <row r="335">
      <c r="A335" s="2">
        <f>HYPERLINK("https://www.pcpacanada.ca/negotiation/20897", "Xolair  (omalizumab)")</f>
        <v>0</v>
      </c>
      <c r="B335" t="inlineStr">
        <is>
          <t>Novartis Pharmaceuticals Canada Inc.</t>
        </is>
      </c>
      <c r="C335" t="inlineStr">
        <is>
          <t>Concluded with an LOI</t>
        </is>
      </c>
      <c r="D335" t="inlineStr">
        <is>
          <t>Chronic Idiopathic Urticaria</t>
        </is>
      </c>
      <c r="E335" t="inlineStr">
        <is>
          <t>20897</t>
        </is>
      </c>
      <c r="F335" t="inlineStr">
        <is>
          <t>Novartis Pharmaceuticals Canada Inc.</t>
        </is>
      </c>
      <c r="G335" t="inlineStr">
        <is>
          <t>SR0398-000</t>
        </is>
      </c>
      <c r="H335">
        <v>42202</v>
      </c>
      <c r="I335" s="3">
        <v>42702</v>
      </c>
    </row>
    <row r="336">
      <c r="A336" s="2">
        <f>HYPERLINK("https://www.pcpacanada.ca/negotiation/20896", "Imbruvica  (ibrutinib)")</f>
        <v>0</v>
      </c>
      <c r="B336" t="inlineStr">
        <is>
          <t>Janssen Inc.</t>
        </is>
      </c>
      <c r="C336" t="inlineStr">
        <is>
          <t>Concluded with an LOI</t>
        </is>
      </c>
      <c r="D336" t="inlineStr">
        <is>
          <t>Mantle Cell Lymphoma</t>
        </is>
      </c>
      <c r="E336" t="inlineStr">
        <is>
          <t>20896</t>
        </is>
      </c>
      <c r="F336" t="inlineStr">
        <is>
          <t>Janssen Inc.</t>
        </is>
      </c>
      <c r="G336" t="inlineStr">
        <is>
          <t>pCODR 10073</t>
        </is>
      </c>
      <c r="H336">
        <v>42594</v>
      </c>
      <c r="I336" s="3">
        <v>42913</v>
      </c>
    </row>
    <row r="337">
      <c r="A337" s="2">
        <f>HYPERLINK("https://www.pcpacanada.ca/negotiation/20895", "Lenvima  (lenvatinib)")</f>
        <v>0</v>
      </c>
      <c r="B337" t="inlineStr">
        <is>
          <t>Eisai Limited</t>
        </is>
      </c>
      <c r="C337" t="inlineStr">
        <is>
          <t>Concluded with an LOI</t>
        </is>
      </c>
      <c r="D337" t="inlineStr">
        <is>
          <t>Differentiated Thyroid Cancer</t>
        </is>
      </c>
      <c r="E337" t="inlineStr">
        <is>
          <t>20895</t>
        </is>
      </c>
      <c r="F337" t="inlineStr">
        <is>
          <t>Eisai Limited</t>
        </is>
      </c>
      <c r="G337" t="inlineStr">
        <is>
          <t>pCODR 10080</t>
        </is>
      </c>
      <c r="H337">
        <v>42829</v>
      </c>
      <c r="I337" s="3">
        <v>42902</v>
      </c>
    </row>
    <row r="338">
      <c r="A338" s="2">
        <f>HYPERLINK("https://www.pcpacanada.ca/negotiation/20894", "Mozobil  (plerixafor)")</f>
        <v>0</v>
      </c>
      <c r="B338" t="inlineStr">
        <is>
          <t>Sanofi-aventis Canada Inc.</t>
        </is>
      </c>
      <c r="C338" t="inlineStr">
        <is>
          <t>Concluded with an LOI</t>
        </is>
      </c>
      <c r="D338" t="inlineStr">
        <is>
          <t>Non-Hodgkin's Lymphoma and Multiple Myeloma</t>
        </is>
      </c>
      <c r="E338" t="inlineStr">
        <is>
          <t>20894</t>
        </is>
      </c>
      <c r="F338" t="inlineStr">
        <is>
          <t>Sanofi-aventis Canada Inc.</t>
        </is>
      </c>
      <c r="G338" t="inlineStr">
        <is>
          <t>Not Applicable</t>
        </is>
      </c>
      <c r="H338">
        <v>42843</v>
      </c>
      <c r="I338" s="3">
        <v>42892</v>
      </c>
    </row>
    <row r="339">
      <c r="A339" s="2">
        <f>HYPERLINK("https://www.pcpacanada.ca/negotiation/20893", "Rituxan SC  (rituximab)")</f>
        <v>0</v>
      </c>
      <c r="B339" t="inlineStr">
        <is>
          <t>Hoffmann-La Roche</t>
        </is>
      </c>
      <c r="C339" t="inlineStr">
        <is>
          <t>Concluded with an LOI</t>
        </is>
      </c>
      <c r="D339" t="inlineStr">
        <is>
          <t>ALL for ritux sub-cu</t>
        </is>
      </c>
      <c r="E339" t="inlineStr">
        <is>
          <t>20893</t>
        </is>
      </c>
      <c r="F339" t="inlineStr">
        <is>
          <t>Hoffmann-La Roche</t>
        </is>
      </c>
      <c r="G339" t="inlineStr">
        <is>
          <t>Not Applicable</t>
        </is>
      </c>
      <c r="H339">
        <v>42718</v>
      </c>
      <c r="I339" s="3">
        <v>42879</v>
      </c>
    </row>
    <row r="340">
      <c r="A340" s="2">
        <f>HYPERLINK("https://www.pcpacanada.ca/negotiation/20892", "Otezla  (apremilast)")</f>
        <v>0</v>
      </c>
      <c r="B340" t="inlineStr">
        <is>
          <t>Celgene Inc.</t>
        </is>
      </c>
      <c r="C340" t="inlineStr">
        <is>
          <t>Concluded without agreement</t>
        </is>
      </c>
      <c r="D340" t="inlineStr">
        <is>
          <t>Psoriasis, moderate to severe plaque</t>
        </is>
      </c>
      <c r="E340" t="inlineStr">
        <is>
          <t>20892</t>
        </is>
      </c>
      <c r="F340" t="inlineStr">
        <is>
          <t>Celgene Inc.</t>
        </is>
      </c>
      <c r="G340" t="inlineStr">
        <is>
          <t>SR0400-000</t>
        </is>
      </c>
      <c r="H340">
        <v>42912</v>
      </c>
      <c r="I340" s="3">
        <v>42986</v>
      </c>
    </row>
    <row r="341">
      <c r="A341" s="2">
        <f>HYPERLINK("https://www.pcpacanada.ca/negotiation/20891", "Forxiga  (dapagliflozin)")</f>
        <v>0</v>
      </c>
      <c r="B341" t="inlineStr">
        <is>
          <t>AstraZeneca Canada Inc.</t>
        </is>
      </c>
      <c r="C341" t="inlineStr">
        <is>
          <t>Concluded with an LOI</t>
        </is>
      </c>
      <c r="D341" t="inlineStr">
        <is>
          <t>Diabetes Mellitus, Type 2</t>
        </is>
      </c>
      <c r="E341" t="inlineStr">
        <is>
          <t>20891</t>
        </is>
      </c>
      <c r="F341" t="inlineStr">
        <is>
          <t>AstraZeneca Canada Inc.</t>
        </is>
      </c>
      <c r="G341" t="inlineStr">
        <is>
          <t>SR0428-000</t>
        </is>
      </c>
      <c r="H341">
        <v>42517</v>
      </c>
      <c r="I341" s="3">
        <v>42646</v>
      </c>
    </row>
    <row r="342">
      <c r="A342" s="2">
        <f>HYPERLINK("https://www.pcpacanada.ca/negotiation/20890", "Vectibix  (panitumumab)")</f>
        <v>0</v>
      </c>
      <c r="B342" t="inlineStr">
        <is>
          <t>Amgen Canada Inc.</t>
        </is>
      </c>
      <c r="C342" t="inlineStr">
        <is>
          <t>Concluded with an LOI</t>
        </is>
      </c>
      <c r="D342" t="inlineStr">
        <is>
          <t>Metastatic Colorectal Cancer</t>
        </is>
      </c>
      <c r="E342" t="inlineStr">
        <is>
          <t>20890</t>
        </is>
      </c>
      <c r="F342" t="inlineStr">
        <is>
          <t>Amgen Canada Inc.</t>
        </is>
      </c>
      <c r="G342" t="inlineStr">
        <is>
          <t>pCODR 10060</t>
        </is>
      </c>
      <c r="H342">
        <v>42361</v>
      </c>
      <c r="I342" s="3">
        <v>42877</v>
      </c>
    </row>
    <row r="343">
      <c r="A343" s="2">
        <f>HYPERLINK("https://www.pcpacanada.ca/negotiation/20889", "Cotellic  (cobimetinib)")</f>
        <v>0</v>
      </c>
      <c r="B343" t="inlineStr">
        <is>
          <t>Hoffmann-La Roche</t>
        </is>
      </c>
      <c r="C343" t="inlineStr">
        <is>
          <t>Concluded with an LOI</t>
        </is>
      </c>
      <c r="D343" t="inlineStr">
        <is>
          <t>Metastatic Melanoma</t>
        </is>
      </c>
      <c r="E343" t="inlineStr">
        <is>
          <t>20889</t>
        </is>
      </c>
      <c r="F343" t="inlineStr">
        <is>
          <t>Hoffmann-La Roche</t>
        </is>
      </c>
      <c r="G343" t="inlineStr">
        <is>
          <t>pCODR 10070</t>
        </is>
      </c>
      <c r="H343">
        <v>42594</v>
      </c>
      <c r="I343" s="3">
        <v>42866</v>
      </c>
    </row>
    <row r="344">
      <c r="A344" s="2">
        <f>HYPERLINK("https://www.pcpacanada.ca/negotiation/20888", "Esbriet  (pirfenidone)")</f>
        <v>0</v>
      </c>
      <c r="B344" t="inlineStr">
        <is>
          <t>Hoffmann-La Roche</t>
        </is>
      </c>
      <c r="C344" t="inlineStr">
        <is>
          <t>Concluded with an LOI</t>
        </is>
      </c>
      <c r="D344" t="inlineStr">
        <is>
          <t>Pulmonary fibrosis (idiopathic, mild to moderate)</t>
        </is>
      </c>
      <c r="E344" t="inlineStr">
        <is>
          <t>20888</t>
        </is>
      </c>
      <c r="F344" t="inlineStr">
        <is>
          <t>Hoffmann-La Roche</t>
        </is>
      </c>
      <c r="G344" t="inlineStr">
        <is>
          <t>SR0393</t>
        </is>
      </c>
      <c r="H344">
        <v>42124</v>
      </c>
      <c r="I344" s="3">
        <v>42624</v>
      </c>
    </row>
    <row r="345">
      <c r="A345" s="2">
        <f>HYPERLINK("https://www.pcpacanada.ca/negotiation/20887", "Ferriprox  (deferiprone)")</f>
        <v>0</v>
      </c>
      <c r="B345" t="inlineStr">
        <is>
          <t>ApoPharm Inc.</t>
        </is>
      </c>
      <c r="C345" t="inlineStr">
        <is>
          <t>Concluded with an LOI</t>
        </is>
      </c>
      <c r="D345" t="inlineStr">
        <is>
          <t>Transfusional iron overload</t>
        </is>
      </c>
      <c r="E345" t="inlineStr">
        <is>
          <t>20887</t>
        </is>
      </c>
      <c r="F345" t="inlineStr">
        <is>
          <t>ApoPharm Inc.</t>
        </is>
      </c>
      <c r="G345" t="inlineStr">
        <is>
          <t>SR0448-000</t>
        </is>
      </c>
      <c r="H345">
        <v>42503</v>
      </c>
      <c r="I345" s="3">
        <v>42620</v>
      </c>
    </row>
    <row r="346">
      <c r="A346" s="2">
        <f>HYPERLINK("https://www.pcpacanada.ca/negotiation/20886", "Ofev  (nintedanib)")</f>
        <v>0</v>
      </c>
      <c r="B346" t="inlineStr">
        <is>
          <t>Boehringer Ingelheim (Canada) Ltd. Ltee.</t>
        </is>
      </c>
      <c r="C346" t="inlineStr">
        <is>
          <t>Concluded with an LOI</t>
        </is>
      </c>
      <c r="D346" t="inlineStr">
        <is>
          <t>Idiopathic pulmonary fibrosis (IPF)</t>
        </is>
      </c>
      <c r="E346" t="inlineStr">
        <is>
          <t>20886</t>
        </is>
      </c>
      <c r="F346" t="inlineStr">
        <is>
          <t>Boehringer Ingelheim (Canada) Ltd. Ltee.</t>
        </is>
      </c>
      <c r="G346" t="inlineStr">
        <is>
          <t>SR0426-000</t>
        </is>
      </c>
      <c r="H346">
        <v>42304</v>
      </c>
      <c r="I346" s="3">
        <v>42611</v>
      </c>
    </row>
    <row r="347">
      <c r="A347" s="2">
        <f>HYPERLINK("https://www.pcpacanada.ca/negotiation/20885", "Simponi SC  (golimumab)")</f>
        <v>0</v>
      </c>
      <c r="B347" t="inlineStr">
        <is>
          <t>Janssen Inc.</t>
        </is>
      </c>
      <c r="C347" t="inlineStr">
        <is>
          <t>Concluded with an LOI</t>
        </is>
      </c>
      <c r="D347" t="inlineStr">
        <is>
          <t>Ulcerative Colitis</t>
        </is>
      </c>
      <c r="E347" t="inlineStr">
        <is>
          <t>20885</t>
        </is>
      </c>
      <c r="F347" t="inlineStr">
        <is>
          <t>Janssen Inc.</t>
        </is>
      </c>
      <c r="G347" t="inlineStr">
        <is>
          <t>Not Applicable</t>
        </is>
      </c>
      <c r="H347">
        <v>41782</v>
      </c>
      <c r="I347" s="3">
        <v>42594</v>
      </c>
    </row>
    <row r="348">
      <c r="A348" s="2">
        <f>HYPERLINK("https://www.pcpacanada.ca/negotiation/20884", "Arnuity Ellipta  (fluticasone furoate)")</f>
        <v>0</v>
      </c>
      <c r="B348" t="inlineStr">
        <is>
          <t>GlaxoSmithKline</t>
        </is>
      </c>
      <c r="C348" t="inlineStr">
        <is>
          <t>Concluded with an LOI</t>
        </is>
      </c>
      <c r="D348" t="inlineStr">
        <is>
          <t>Asthma</t>
        </is>
      </c>
      <c r="E348" t="inlineStr">
        <is>
          <t>20884</t>
        </is>
      </c>
      <c r="F348" t="inlineStr">
        <is>
          <t>GlaxoSmithKline</t>
        </is>
      </c>
      <c r="G348" t="inlineStr">
        <is>
          <t>SR0439-000</t>
        </is>
      </c>
      <c r="H348">
        <v>42473</v>
      </c>
      <c r="I348" s="3">
        <v>42590</v>
      </c>
    </row>
    <row r="349">
      <c r="A349" s="2">
        <f>HYPERLINK("https://www.pcpacanada.ca/negotiation/20883", "Breo Ellipta  (fluticasone furoate/vilanterol)")</f>
        <v>0</v>
      </c>
      <c r="B349" t="inlineStr">
        <is>
          <t>GlaxoSmithKline</t>
        </is>
      </c>
      <c r="C349" t="inlineStr">
        <is>
          <t>Concluded with an LOI</t>
        </is>
      </c>
      <c r="D349" t="inlineStr">
        <is>
          <t>Asthma</t>
        </is>
      </c>
      <c r="E349" t="inlineStr">
        <is>
          <t>20883</t>
        </is>
      </c>
      <c r="F349" t="inlineStr">
        <is>
          <t>GlaxoSmithKline</t>
        </is>
      </c>
      <c r="G349" t="inlineStr">
        <is>
          <t>SR0442-000</t>
        </is>
      </c>
      <c r="H349">
        <v>42473</v>
      </c>
      <c r="I349" s="3">
        <v>42562</v>
      </c>
    </row>
    <row r="350">
      <c r="A350" s="2">
        <f>HYPERLINK("https://www.pcpacanada.ca/negotiation/20882", "Opdivo  (nivolumab)")</f>
        <v>0</v>
      </c>
      <c r="B350" t="inlineStr">
        <is>
          <t>Bristol Myers Squibb Canada Inc.</t>
        </is>
      </c>
      <c r="C350" t="inlineStr">
        <is>
          <t>Concluded with an LOI</t>
        </is>
      </c>
      <c r="D350" t="inlineStr">
        <is>
          <t>Metastatic Renal Cell Carcinoma</t>
        </is>
      </c>
      <c r="E350" t="inlineStr">
        <is>
          <t>20882</t>
        </is>
      </c>
      <c r="F350" t="inlineStr">
        <is>
          <t>Bristol Myers Squibb Canada Inc.</t>
        </is>
      </c>
      <c r="G350" t="inlineStr">
        <is>
          <t>pCODR 10074</t>
        </is>
      </c>
      <c r="H350">
        <v>42692</v>
      </c>
      <c r="I350" s="3">
        <v>42755</v>
      </c>
    </row>
    <row r="351">
      <c r="A351" s="2">
        <f>HYPERLINK("https://www.pcpacanada.ca/negotiation/20881", "Cosentyx  (secukinumab)")</f>
        <v>0</v>
      </c>
      <c r="B351" t="inlineStr">
        <is>
          <t>Novartis Pharmaceuticals Canada Inc.</t>
        </is>
      </c>
      <c r="C351" t="inlineStr">
        <is>
          <t>Concluded with an LOI</t>
        </is>
      </c>
      <c r="D351" t="inlineStr">
        <is>
          <t>Psoriasis, moderate to severe plaque</t>
        </is>
      </c>
      <c r="E351" t="inlineStr">
        <is>
          <t>20881</t>
        </is>
      </c>
      <c r="F351" t="inlineStr">
        <is>
          <t>Novartis Pharmaceuticals Canada Inc.</t>
        </is>
      </c>
      <c r="G351" t="inlineStr">
        <is>
          <t>SR0407-000</t>
        </is>
      </c>
      <c r="H351">
        <v>42353</v>
      </c>
      <c r="I351" s="3">
        <v>42529</v>
      </c>
    </row>
    <row r="352">
      <c r="A352" s="2">
        <f>HYPERLINK("https://www.pcpacanada.ca/negotiation/20880", "Opdivo  (nivolumab)")</f>
        <v>0</v>
      </c>
      <c r="B352" t="inlineStr">
        <is>
          <t>Bristol Myers Squibb Canada Inc.</t>
        </is>
      </c>
      <c r="C352" t="inlineStr">
        <is>
          <t>Concluded with an LOI</t>
        </is>
      </c>
      <c r="D352" t="inlineStr">
        <is>
          <t>Non-small Cell Lung Cancer</t>
        </is>
      </c>
      <c r="E352" t="inlineStr">
        <is>
          <t>20880</t>
        </is>
      </c>
      <c r="F352" t="inlineStr">
        <is>
          <t>Bristol Myers Squibb Canada Inc.</t>
        </is>
      </c>
      <c r="G352" t="inlineStr">
        <is>
          <t>pCODR 10069</t>
        </is>
      </c>
      <c r="H352">
        <v>42555</v>
      </c>
      <c r="I352" s="3">
        <v>42755</v>
      </c>
    </row>
    <row r="353">
      <c r="A353" s="2">
        <f>HYPERLINK("https://www.pcpacanada.ca/negotiation/20879", "Opdivo  (nivolumab)")</f>
        <v>0</v>
      </c>
      <c r="B353" t="inlineStr">
        <is>
          <t>Bristol Myers Squibb Canada Inc.</t>
        </is>
      </c>
      <c r="C353" t="inlineStr">
        <is>
          <t>Concluded with an LOI</t>
        </is>
      </c>
      <c r="D353" t="inlineStr">
        <is>
          <t>Metastatic Melanoma</t>
        </is>
      </c>
      <c r="E353" t="inlineStr">
        <is>
          <t>20879</t>
        </is>
      </c>
      <c r="F353" t="inlineStr">
        <is>
          <t>Bristol Myers Squibb Canada Inc.</t>
        </is>
      </c>
      <c r="G353" t="inlineStr">
        <is>
          <t>pCODR 10063</t>
        </is>
      </c>
      <c r="H353">
        <v>42494</v>
      </c>
      <c r="I353" s="3">
        <v>42755</v>
      </c>
    </row>
    <row r="354">
      <c r="A354" s="2">
        <f>HYPERLINK("https://www.pcpacanada.ca/negotiation/20878", "Lemtrada  (alemtuzumab)")</f>
        <v>0</v>
      </c>
      <c r="B354" t="inlineStr">
        <is>
          <t>Sanofi Genzyme Canada</t>
        </is>
      </c>
      <c r="C354" t="inlineStr">
        <is>
          <t>Concluded with an LOI</t>
        </is>
      </c>
      <c r="D354" t="inlineStr">
        <is>
          <t>Relapsing-Remitting Multiple Sclerosis</t>
        </is>
      </c>
      <c r="E354" t="inlineStr">
        <is>
          <t>20878</t>
        </is>
      </c>
      <c r="F354" t="inlineStr">
        <is>
          <t>Sanofi Genzyme Canada</t>
        </is>
      </c>
      <c r="G354" t="inlineStr">
        <is>
          <t>SR0405-000</t>
        </is>
      </c>
      <c r="H354">
        <v>42213</v>
      </c>
      <c r="I354" s="3">
        <v>42501</v>
      </c>
    </row>
    <row r="355">
      <c r="A355" s="2">
        <f>HYPERLINK("https://www.pcpacanada.ca/negotiation/20877", "Xeljanz  (tofacitinib)")</f>
        <v>0</v>
      </c>
      <c r="B355" t="inlineStr">
        <is>
          <t>Pfizer Canada ULC</t>
        </is>
      </c>
      <c r="C355" t="inlineStr">
        <is>
          <t>Concluded with an LOI</t>
        </is>
      </c>
      <c r="D355" t="inlineStr">
        <is>
          <t>Subacute and chronic inflammatory joint diseases</t>
        </is>
      </c>
      <c r="E355" t="inlineStr">
        <is>
          <t>20877</t>
        </is>
      </c>
      <c r="F355" t="inlineStr">
        <is>
          <t>Pfizer Canada ULC</t>
        </is>
      </c>
      <c r="G355" t="inlineStr">
        <is>
          <t>SR0380-000</t>
        </is>
      </c>
      <c r="H355">
        <v>42206</v>
      </c>
      <c r="I355" s="3">
        <v>42486</v>
      </c>
    </row>
    <row r="356">
      <c r="A356" s="2">
        <f>HYPERLINK("https://www.pcpacanada.ca/negotiation/20876", "Daklinza  (daclatasvir)")</f>
        <v>0</v>
      </c>
      <c r="B356" t="inlineStr">
        <is>
          <t>Bristol Myers Squibb Canada Inc.</t>
        </is>
      </c>
      <c r="C356" t="inlineStr">
        <is>
          <t>Concluded without agreement</t>
        </is>
      </c>
      <c r="D356" t="inlineStr">
        <is>
          <t>Chronic Hepatitis C</t>
        </is>
      </c>
      <c r="E356" t="inlineStr">
        <is>
          <t>20876</t>
        </is>
      </c>
      <c r="F356" t="inlineStr">
        <is>
          <t>Bristol Myers Squibb Canada Inc.</t>
        </is>
      </c>
      <c r="G356" t="inlineStr">
        <is>
          <t>SR0417-000</t>
        </is>
      </c>
      <c r="H356" t="inlineStr">
        <is>
          <t>Not Applicable</t>
        </is>
      </c>
      <c r="I356" s="3">
        <v>42446</v>
      </c>
    </row>
    <row r="357">
      <c r="A357" s="2">
        <f>HYPERLINK("https://www.pcpacanada.ca/negotiation/20875", "Zydelig  (idelalisib)")</f>
        <v>0</v>
      </c>
      <c r="B357" t="inlineStr">
        <is>
          <t>Gilead Sciences Canada Inc.</t>
        </is>
      </c>
      <c r="C357" t="inlineStr">
        <is>
          <t>Negotiations were not pursued</t>
        </is>
      </c>
      <c r="D357" t="inlineStr">
        <is>
          <t>Follicular Lymphoma</t>
        </is>
      </c>
      <c r="E357" t="inlineStr">
        <is>
          <t>20875</t>
        </is>
      </c>
      <c r="F357" t="inlineStr">
        <is>
          <t>Gilead Sciences Canada Inc.</t>
        </is>
      </c>
      <c r="G357" t="inlineStr">
        <is>
          <t>pCODR 10075</t>
        </is>
      </c>
      <c r="H357" t="inlineStr">
        <is>
          <t>Not Applicable</t>
        </is>
      </c>
      <c r="I357" s="3">
        <v>42748</v>
      </c>
    </row>
    <row r="358">
      <c r="A358" s="2">
        <f>HYPERLINK("https://www.pcpacanada.ca/negotiation/20874", "Jardiance  (empagliflozin)")</f>
        <v>0</v>
      </c>
      <c r="B358" t="inlineStr">
        <is>
          <t>Boehringer Ingelheim (Canada) Ltd. Ltee.</t>
        </is>
      </c>
      <c r="C358" t="inlineStr">
        <is>
          <t>Concluded with an LOI</t>
        </is>
      </c>
      <c r="D358" t="inlineStr">
        <is>
          <t>Diabetes Mellitus, Type 2 with high cardiovascular risk</t>
        </is>
      </c>
      <c r="E358" t="inlineStr">
        <is>
          <t>20874</t>
        </is>
      </c>
      <c r="F358" t="inlineStr">
        <is>
          <t>Boehringer Ingelheim (Canada) Ltd. Ltee.</t>
        </is>
      </c>
      <c r="G358" t="inlineStr">
        <is>
          <t>SR0427-000</t>
        </is>
      </c>
      <c r="H358">
        <v>42432</v>
      </c>
      <c r="I358" s="3">
        <v>42473</v>
      </c>
    </row>
    <row r="359">
      <c r="A359" s="2">
        <f>HYPERLINK("https://www.pcpacanada.ca/negotiation/20873", "Trajenta/Jentaduo  (linagliptin (linagliptin/metformin))")</f>
        <v>0</v>
      </c>
      <c r="B359" t="inlineStr">
        <is>
          <t>Boehringer Ingelheim (Canada) Ltd. Ltee.</t>
        </is>
      </c>
      <c r="C359" t="inlineStr">
        <is>
          <t>Concluded with an LOI</t>
        </is>
      </c>
      <c r="D359" t="inlineStr">
        <is>
          <t>Diabetes Mellitus, Type 2</t>
        </is>
      </c>
      <c r="E359" t="inlineStr">
        <is>
          <t>20873</t>
        </is>
      </c>
      <c r="F359" t="inlineStr">
        <is>
          <t>Boehringer Ingelheim (Canada) Ltd. Ltee.</t>
        </is>
      </c>
      <c r="G359" t="inlineStr">
        <is>
          <t>Not Applicable</t>
        </is>
      </c>
      <c r="H359">
        <v>42251</v>
      </c>
      <c r="I359" s="3">
        <v>42472</v>
      </c>
    </row>
    <row r="360">
      <c r="A360" s="2">
        <f>HYPERLINK("https://www.pcpacanada.ca/negotiation/20872", "Nesina  (alogliptin)")</f>
        <v>0</v>
      </c>
      <c r="B360" t="inlineStr">
        <is>
          <t>Takeda Canada Inc.</t>
        </is>
      </c>
      <c r="C360" t="inlineStr">
        <is>
          <t>Negotiations were not pursued</t>
        </is>
      </c>
      <c r="D360" t="inlineStr">
        <is>
          <t>Diabetes Mellitus, Type 2</t>
        </is>
      </c>
      <c r="E360" t="inlineStr">
        <is>
          <t>20872</t>
        </is>
      </c>
      <c r="F360" t="inlineStr">
        <is>
          <t>Takeda Canada Inc.</t>
        </is>
      </c>
      <c r="G360" t="inlineStr">
        <is>
          <t>SR0368-000</t>
        </is>
      </c>
      <c r="H360" t="inlineStr">
        <is>
          <t>Not Applicable</t>
        </is>
      </c>
      <c r="I360" s="3">
        <v>42032</v>
      </c>
    </row>
    <row r="361">
      <c r="A361" s="2">
        <f>HYPERLINK("https://www.pcpacanada.ca/negotiation/20871", "Prezcobix  (darunavir/cobicistat)")</f>
        <v>0</v>
      </c>
      <c r="B361" t="inlineStr">
        <is>
          <t>Janssen Inc.</t>
        </is>
      </c>
      <c r="C361" t="inlineStr">
        <is>
          <t>Concluded with an LOI</t>
        </is>
      </c>
      <c r="D361" t="inlineStr">
        <is>
          <t>HIV Infection</t>
        </is>
      </c>
      <c r="E361" t="inlineStr">
        <is>
          <t>20871</t>
        </is>
      </c>
      <c r="F361" t="inlineStr">
        <is>
          <t>Janssen Inc.</t>
        </is>
      </c>
      <c r="G361" t="inlineStr">
        <is>
          <t>SR0381-000</t>
        </is>
      </c>
      <c r="H361">
        <v>42165</v>
      </c>
      <c r="I361" s="3">
        <v>42453</v>
      </c>
    </row>
    <row r="362">
      <c r="A362" s="2">
        <f>HYPERLINK("https://www.pcpacanada.ca/negotiation/20870", "Inspiolto Respimat  (tiotropium/olodaterol)")</f>
        <v>0</v>
      </c>
      <c r="B362" t="inlineStr">
        <is>
          <t>Boehringer Ingelheim (Canada) Ltd. Ltee.</t>
        </is>
      </c>
      <c r="C362" t="inlineStr">
        <is>
          <t>Concluded with an LOI</t>
        </is>
      </c>
      <c r="D362" t="inlineStr">
        <is>
          <t>Heart failure, NYHA class II</t>
        </is>
      </c>
      <c r="E362" t="inlineStr">
        <is>
          <t>20870</t>
        </is>
      </c>
      <c r="F362" t="inlineStr">
        <is>
          <t>Boehringer Ingelheim (Canada) Ltd. Ltee.</t>
        </is>
      </c>
      <c r="G362" t="inlineStr">
        <is>
          <t>SR0436-000</t>
        </is>
      </c>
      <c r="H362">
        <v>42422</v>
      </c>
      <c r="I362" s="3">
        <v>42431</v>
      </c>
    </row>
    <row r="363">
      <c r="A363" s="2">
        <f>HYPERLINK("https://www.pcpacanada.ca/negotiation/20869", "Spiriva Respimat  (tiotropium bromide)")</f>
        <v>0</v>
      </c>
      <c r="B363" t="inlineStr">
        <is>
          <t>Boehringer Ingelheim (Canada) Ltd. Ltee.</t>
        </is>
      </c>
      <c r="C363" t="inlineStr">
        <is>
          <t>Concluded with an LOI</t>
        </is>
      </c>
      <c r="D363" t="inlineStr">
        <is>
          <t>Chronic Obstructive Pulmonary Disease</t>
        </is>
      </c>
      <c r="E363" t="inlineStr">
        <is>
          <t>20869</t>
        </is>
      </c>
      <c r="F363" t="inlineStr">
        <is>
          <t>Boehringer Ingelheim (Canada) Ltd. Ltee.</t>
        </is>
      </c>
      <c r="G363" t="inlineStr">
        <is>
          <t>SR0412-000</t>
        </is>
      </c>
      <c r="H363">
        <v>42237</v>
      </c>
      <c r="I363" s="3">
        <v>42431</v>
      </c>
    </row>
    <row r="364">
      <c r="A364" s="2">
        <f>HYPERLINK("https://www.pcpacanada.ca/negotiation/20868", "Byetta  (exenatide)")</f>
        <v>0</v>
      </c>
      <c r="B364" t="inlineStr">
        <is>
          <t>AstraZeneca Canada Inc.</t>
        </is>
      </c>
      <c r="C364" t="inlineStr">
        <is>
          <t>Concluded without agreement</t>
        </is>
      </c>
      <c r="D364" t="inlineStr">
        <is>
          <t>Diabetes Mellitus, Type 2</t>
        </is>
      </c>
      <c r="E364" t="inlineStr">
        <is>
          <t>20868</t>
        </is>
      </c>
      <c r="F364" t="inlineStr">
        <is>
          <t>AstraZeneca Canada Inc.</t>
        </is>
      </c>
      <c r="G364" t="inlineStr">
        <is>
          <t>S0246</t>
        </is>
      </c>
      <c r="H364">
        <v>41061</v>
      </c>
      <c r="I364" s="3">
        <v>41438</v>
      </c>
    </row>
    <row r="365">
      <c r="A365" s="2">
        <f>HYPERLINK("https://www.pcpacanada.ca/negotiation/20867", "Blincyto  (blinatumomab)")</f>
        <v>0</v>
      </c>
      <c r="B365" t="inlineStr">
        <is>
          <t>Amgen Canada Inc.</t>
        </is>
      </c>
      <c r="C365" t="inlineStr">
        <is>
          <t>Concluded with an LOI</t>
        </is>
      </c>
      <c r="D365" t="inlineStr">
        <is>
          <t>Acute Lymphoblastic Leukemia</t>
        </is>
      </c>
      <c r="E365" t="inlineStr">
        <is>
          <t>20867</t>
        </is>
      </c>
      <c r="F365" t="inlineStr">
        <is>
          <t>Amgen Canada Inc.</t>
        </is>
      </c>
      <c r="G365" t="inlineStr">
        <is>
          <t>pCODR 10064</t>
        </is>
      </c>
      <c r="H365">
        <v>42487</v>
      </c>
      <c r="I365" s="3">
        <v>42744</v>
      </c>
    </row>
    <row r="366">
      <c r="A366" s="2">
        <f>HYPERLINK("https://www.pcpacanada.ca/negotiation/20866", "Januvia  (sitagliptin phosphate)")</f>
        <v>0</v>
      </c>
      <c r="B366" t="inlineStr">
        <is>
          <t>Merck Canada Inc.</t>
        </is>
      </c>
      <c r="C366" t="inlineStr">
        <is>
          <t>Concluded with an LOI</t>
        </is>
      </c>
      <c r="D366" t="inlineStr">
        <is>
          <t>Diabetes Mellitus, Type 2</t>
        </is>
      </c>
      <c r="E366" t="inlineStr">
        <is>
          <t>20866</t>
        </is>
      </c>
      <c r="F366" t="inlineStr">
        <is>
          <t>Merck Canada Inc.</t>
        </is>
      </c>
      <c r="G366" t="inlineStr">
        <is>
          <t>S0181</t>
        </is>
      </c>
      <c r="H366">
        <v>42251</v>
      </c>
      <c r="I366" s="3">
        <v>42408</v>
      </c>
    </row>
    <row r="367">
      <c r="A367" s="2">
        <f>HYPERLINK("https://www.pcpacanada.ca/negotiation/20865", "Janumet  (sitagliptin phosphate)")</f>
        <v>0</v>
      </c>
      <c r="B367" t="inlineStr">
        <is>
          <t>Merck Canada Inc.</t>
        </is>
      </c>
      <c r="C367" t="inlineStr">
        <is>
          <t>Concluded with an LOI</t>
        </is>
      </c>
      <c r="D367" t="inlineStr">
        <is>
          <t>Diabetes Mellitus, Type 2</t>
        </is>
      </c>
      <c r="E367" t="inlineStr">
        <is>
          <t>20865</t>
        </is>
      </c>
      <c r="F367" t="inlineStr">
        <is>
          <t>Merck Canada Inc.</t>
        </is>
      </c>
      <c r="G367" t="inlineStr">
        <is>
          <t>S0182</t>
        </is>
      </c>
      <c r="H367">
        <v>42251</v>
      </c>
      <c r="I367" s="3">
        <v>42408</v>
      </c>
    </row>
    <row r="368">
      <c r="A368" s="2">
        <f>HYPERLINK("https://www.pcpacanada.ca/negotiation/20864", "Kazano  (alogliptin/metformin)")</f>
        <v>0</v>
      </c>
      <c r="B368" t="inlineStr">
        <is>
          <t>Takeda Canada Inc.</t>
        </is>
      </c>
      <c r="C368" t="inlineStr">
        <is>
          <t>Negotiations were not pursued</t>
        </is>
      </c>
      <c r="D368" t="inlineStr">
        <is>
          <t>Diabetes Mellitus, Type 2</t>
        </is>
      </c>
      <c r="E368" t="inlineStr">
        <is>
          <t>20864</t>
        </is>
      </c>
      <c r="F368" t="inlineStr">
        <is>
          <t>Takeda Canada Inc.</t>
        </is>
      </c>
      <c r="G368" t="inlineStr">
        <is>
          <t>SR0367-000</t>
        </is>
      </c>
      <c r="H368" t="inlineStr">
        <is>
          <t>Not Applicable</t>
        </is>
      </c>
      <c r="I368" s="3">
        <v>42032</v>
      </c>
    </row>
    <row r="369">
      <c r="A369" s="2">
        <f>HYPERLINK("https://www.pcpacanada.ca/negotiation/20863", "Cimzia  (certolizumab pegol)")</f>
        <v>0</v>
      </c>
      <c r="B369" t="inlineStr">
        <is>
          <t>UCB Canada Inc.</t>
        </is>
      </c>
      <c r="C369" t="inlineStr">
        <is>
          <t>Concluded with an LOI</t>
        </is>
      </c>
      <c r="D369" t="inlineStr">
        <is>
          <t>Ankylosing spondylitis</t>
        </is>
      </c>
      <c r="E369" t="inlineStr">
        <is>
          <t>20863</t>
        </is>
      </c>
      <c r="F369" t="inlineStr">
        <is>
          <t>UCB Canada Inc.</t>
        </is>
      </c>
      <c r="G369" t="inlineStr">
        <is>
          <t>SR0385-000</t>
        </is>
      </c>
      <c r="H369">
        <v>42282</v>
      </c>
      <c r="I369" s="3">
        <v>42375</v>
      </c>
    </row>
    <row r="370">
      <c r="A370" s="2">
        <f>HYPERLINK("https://www.pcpacanada.ca/negotiation/20862", "Butrans  (buprenorphine)")</f>
        <v>0</v>
      </c>
      <c r="B370" t="inlineStr">
        <is>
          <t>Purdue Pharma</t>
        </is>
      </c>
      <c r="C370" t="inlineStr">
        <is>
          <t>Concluded without agreement</t>
        </is>
      </c>
      <c r="D370" t="inlineStr">
        <is>
          <t>Pain, persistent (moderate intensity)</t>
        </is>
      </c>
      <c r="E370" t="inlineStr">
        <is>
          <t>20862</t>
        </is>
      </c>
      <c r="F370" t="inlineStr">
        <is>
          <t>Purdue Pharma</t>
        </is>
      </c>
      <c r="G370" t="inlineStr">
        <is>
          <t>Not Applicable</t>
        </is>
      </c>
      <c r="H370">
        <v>42870</v>
      </c>
      <c r="I370" s="3">
        <v>42965</v>
      </c>
    </row>
    <row r="371">
      <c r="A371" s="2">
        <f>HYPERLINK("https://www.pcpacanada.ca/negotiation/20861", "Actemra SC  (tocilizumab)")</f>
        <v>0</v>
      </c>
      <c r="B371" t="inlineStr">
        <is>
          <t>Hoffmann-La Roche</t>
        </is>
      </c>
      <c r="C371" t="inlineStr">
        <is>
          <t>Concluded with an LOI</t>
        </is>
      </c>
      <c r="D371" t="inlineStr">
        <is>
          <t>Subacute and chronic inflammatory joint diseases</t>
        </is>
      </c>
      <c r="E371" t="inlineStr">
        <is>
          <t>20861</t>
        </is>
      </c>
      <c r="F371" t="inlineStr">
        <is>
          <t>Hoffmann-La Roche</t>
        </is>
      </c>
      <c r="G371" t="inlineStr">
        <is>
          <t>Not Applicable</t>
        </is>
      </c>
      <c r="H371">
        <v>42125</v>
      </c>
      <c r="I371" s="3">
        <v>42354</v>
      </c>
    </row>
    <row r="372">
      <c r="A372" s="2">
        <f>HYPERLINK("https://www.pcpacanada.ca/negotiation/20860", "Incruse Ellipta  (umeclidinium)")</f>
        <v>0</v>
      </c>
      <c r="B372" t="inlineStr">
        <is>
          <t>GlaxoSmithKline</t>
        </is>
      </c>
      <c r="C372" t="inlineStr">
        <is>
          <t>Concluded with an LOI</t>
        </is>
      </c>
      <c r="D372" t="inlineStr">
        <is>
          <t>Chronic Obstructive Pulmonary Disease</t>
        </is>
      </c>
      <c r="E372" t="inlineStr">
        <is>
          <t>20860</t>
        </is>
      </c>
      <c r="F372" t="inlineStr">
        <is>
          <t>GlaxoSmithKline</t>
        </is>
      </c>
      <c r="G372" t="inlineStr">
        <is>
          <t>SR0422-000</t>
        </is>
      </c>
      <c r="H372">
        <v>42300</v>
      </c>
      <c r="I372" s="3">
        <v>42353</v>
      </c>
    </row>
    <row r="373">
      <c r="A373" s="2">
        <f>HYPERLINK("https://www.pcpacanada.ca/negotiation/20859", "Duaklir Genuair  (aclidinium bromide/formoterol fumarate dihydrate)")</f>
        <v>0</v>
      </c>
      <c r="B373" t="inlineStr">
        <is>
          <t>AstraZeneca Canada Inc.</t>
        </is>
      </c>
      <c r="C373" t="inlineStr">
        <is>
          <t>Concluded with an LOI</t>
        </is>
      </c>
      <c r="D373" t="inlineStr">
        <is>
          <t>Chronic Obstructive Pulmonary Disease</t>
        </is>
      </c>
      <c r="E373" t="inlineStr">
        <is>
          <t>20859</t>
        </is>
      </c>
      <c r="F373" t="inlineStr">
        <is>
          <t>AstraZeneca Canada Inc.</t>
        </is>
      </c>
      <c r="G373" t="inlineStr">
        <is>
          <t>SR0423-000</t>
        </is>
      </c>
      <c r="H373">
        <v>42300</v>
      </c>
      <c r="I373" s="3">
        <v>42353</v>
      </c>
    </row>
    <row r="374">
      <c r="A374" s="2">
        <f>HYPERLINK("https://www.pcpacanada.ca/negotiation/20858", "Inflectra  (infliximab)")</f>
        <v>0</v>
      </c>
      <c r="B374" t="inlineStr">
        <is>
          <t>Hospira Healthcare Corporation</t>
        </is>
      </c>
      <c r="C374" t="inlineStr">
        <is>
          <t>Concluded with an LOI</t>
        </is>
      </c>
      <c r="D374" t="inlineStr">
        <is>
          <t>Ankylosing spondylitis, plaque psoriasis, psoriatic arthritis, rheumatoid arthritis</t>
        </is>
      </c>
      <c r="E374" t="inlineStr">
        <is>
          <t>20858</t>
        </is>
      </c>
      <c r="F374" t="inlineStr">
        <is>
          <t>Hospira Healthcare Corporation</t>
        </is>
      </c>
      <c r="G374" t="inlineStr">
        <is>
          <t>SE0384-000</t>
        </is>
      </c>
      <c r="H374">
        <v>42018</v>
      </c>
      <c r="I374" s="3">
        <v>42327</v>
      </c>
    </row>
    <row r="375">
      <c r="A375" s="2">
        <f>HYPERLINK("https://www.pcpacanada.ca/negotiation/20857", "Jinarc  (tolvaptan)")</f>
        <v>0</v>
      </c>
      <c r="B375" t="inlineStr">
        <is>
          <t>Otsuka Canada Pharmaceuticals</t>
        </is>
      </c>
      <c r="C375" t="inlineStr">
        <is>
          <t>Negotiations were not pursued</t>
        </is>
      </c>
      <c r="D375" t="inlineStr">
        <is>
          <t>Autosomal dominant polycystic kidney disease (ADPKD)</t>
        </is>
      </c>
      <c r="E375" t="inlineStr">
        <is>
          <t>20857</t>
        </is>
      </c>
      <c r="F375" t="inlineStr">
        <is>
          <t>Otsuka Canada Pharmaceuticals</t>
        </is>
      </c>
      <c r="G375" t="inlineStr">
        <is>
          <t>SR0435-000</t>
        </is>
      </c>
      <c r="H375" t="inlineStr">
        <is>
          <t>Not Applicable</t>
        </is>
      </c>
      <c r="I375" s="3">
        <v>42531</v>
      </c>
    </row>
    <row r="376">
      <c r="A376" s="2">
        <f>HYPERLINK("https://www.pcpacanada.ca/negotiation/20856", "Imbruvica  (ibrutinib)")</f>
        <v>0</v>
      </c>
      <c r="B376" t="inlineStr">
        <is>
          <t>Janssen Inc.</t>
        </is>
      </c>
      <c r="C376" t="inlineStr">
        <is>
          <t>Negotiations were not pursued</t>
        </is>
      </c>
      <c r="D376" t="inlineStr">
        <is>
          <t>Chronic Lymphocytic Leukemia/Small Lymphocytic Lymphoma</t>
        </is>
      </c>
      <c r="E376" t="inlineStr">
        <is>
          <t>20856</t>
        </is>
      </c>
      <c r="F376" t="inlineStr">
        <is>
          <t>Janssen Inc.</t>
        </is>
      </c>
      <c r="G376" t="inlineStr">
        <is>
          <t>pCODR 10082</t>
        </is>
      </c>
      <c r="H376" t="inlineStr">
        <is>
          <t>Not Applicable</t>
        </is>
      </c>
      <c r="I376" s="3">
        <v>42727</v>
      </c>
    </row>
    <row r="377">
      <c r="A377" s="2">
        <f>HYPERLINK("https://www.pcpacanada.ca/negotiation/20855", "Darzalex  (daratumumab)")</f>
        <v>0</v>
      </c>
      <c r="B377" t="inlineStr">
        <is>
          <t>Janssen Inc.</t>
        </is>
      </c>
      <c r="C377" t="inlineStr">
        <is>
          <t>Negotiations were not pursued</t>
        </is>
      </c>
      <c r="D377" t="inlineStr">
        <is>
          <t>Multiple Myeloma</t>
        </is>
      </c>
      <c r="E377" t="inlineStr">
        <is>
          <t>20855</t>
        </is>
      </c>
      <c r="F377" t="inlineStr">
        <is>
          <t>Janssen Inc.</t>
        </is>
      </c>
      <c r="G377" t="inlineStr">
        <is>
          <t>pCODR 10079</t>
        </is>
      </c>
      <c r="H377" t="inlineStr">
        <is>
          <t>Not Applicable</t>
        </is>
      </c>
      <c r="I377" s="3">
        <v>42727</v>
      </c>
    </row>
    <row r="378">
      <c r="A378" s="2">
        <f>HYPERLINK("https://www.pcpacanada.ca/negotiation/20854", "Intuniv XR  (guanfacine hydrochloride)")</f>
        <v>0</v>
      </c>
      <c r="B378" t="inlineStr">
        <is>
          <t>Shire Pharma Canada ULC</t>
        </is>
      </c>
      <c r="C378" t="inlineStr">
        <is>
          <t>Negotiations were not pursued</t>
        </is>
      </c>
      <c r="D378" t="inlineStr">
        <is>
          <t>Attention-deficit/hyperactivity disorder (ADHD)</t>
        </is>
      </c>
      <c r="E378" t="inlineStr">
        <is>
          <t>20854</t>
        </is>
      </c>
      <c r="F378" t="inlineStr">
        <is>
          <t>Shire Pharma Canada ULC</t>
        </is>
      </c>
      <c r="G378" t="inlineStr">
        <is>
          <t>SR0349-000</t>
        </is>
      </c>
      <c r="H378" t="inlineStr">
        <is>
          <t>Not Applicable</t>
        </is>
      </c>
      <c r="I378" s="3">
        <v>41961</v>
      </c>
    </row>
    <row r="379">
      <c r="A379" s="2">
        <f>HYPERLINK("https://www.pcpacanada.ca/negotiation/20853", "Aptiom  (eslicarbazepine acetate)")</f>
        <v>0</v>
      </c>
      <c r="B379" t="inlineStr">
        <is>
          <t>Sunovion Pharmaceuticals Canada Inc.</t>
        </is>
      </c>
      <c r="C379" t="inlineStr">
        <is>
          <t>Concluded with an LOI</t>
        </is>
      </c>
      <c r="D379" t="inlineStr">
        <is>
          <t>Epilepsy, partial-onset seizures</t>
        </is>
      </c>
      <c r="E379" t="inlineStr">
        <is>
          <t>20853</t>
        </is>
      </c>
      <c r="F379" t="inlineStr">
        <is>
          <t>Sunovion Pharmaceuticals Canada Inc.</t>
        </is>
      </c>
      <c r="G379" t="inlineStr">
        <is>
          <t>SR0391</t>
        </is>
      </c>
      <c r="H379">
        <v>42170</v>
      </c>
      <c r="I379" s="3">
        <v>42255</v>
      </c>
    </row>
    <row r="380">
      <c r="A380" s="2">
        <f>HYPERLINK("https://www.pcpacanada.ca/negotiation/20852", "Simbrinza  (brinzolamide/brimonidine)")</f>
        <v>0</v>
      </c>
      <c r="B380" t="inlineStr">
        <is>
          <t>Alcon</t>
        </is>
      </c>
      <c r="C380" t="inlineStr">
        <is>
          <t>Concluded with an LOI</t>
        </is>
      </c>
      <c r="D380" t="inlineStr">
        <is>
          <t>Glaucoma and Ocular Hypertension</t>
        </is>
      </c>
      <c r="E380" t="inlineStr">
        <is>
          <t>20852</t>
        </is>
      </c>
      <c r="F380" t="inlineStr">
        <is>
          <t>Alcon</t>
        </is>
      </c>
      <c r="G380" t="inlineStr">
        <is>
          <t>SR0403-000</t>
        </is>
      </c>
      <c r="H380">
        <v>42222</v>
      </c>
      <c r="I380" s="3">
        <v>42243</v>
      </c>
    </row>
    <row r="381">
      <c r="A381" s="2">
        <f>HYPERLINK("https://www.pcpacanada.ca/negotiation/20851", "Humira  (adalimumab)")</f>
        <v>0</v>
      </c>
      <c r="B381" t="inlineStr">
        <is>
          <t>AbbVie Corporation</t>
        </is>
      </c>
      <c r="C381" t="inlineStr">
        <is>
          <t>Negotiations were not pursued</t>
        </is>
      </c>
      <c r="D381" t="inlineStr">
        <is>
          <t>Hidradenitis Suppurativa</t>
        </is>
      </c>
      <c r="E381" t="inlineStr">
        <is>
          <t>20851</t>
        </is>
      </c>
      <c r="F381" t="inlineStr">
        <is>
          <t>AbbVie Corporation</t>
        </is>
      </c>
      <c r="G381" t="inlineStr">
        <is>
          <t>SR0455-000</t>
        </is>
      </c>
      <c r="H381" t="inlineStr">
        <is>
          <t>Not Applicable</t>
        </is>
      </c>
      <c r="I381" s="3">
        <v>42726</v>
      </c>
    </row>
    <row r="382">
      <c r="A382" s="2">
        <f>HYPERLINK("https://www.pcpacanada.ca/negotiation/20850", "Cyramza  (ramucirumab)")</f>
        <v>0</v>
      </c>
      <c r="B382" t="inlineStr">
        <is>
          <t>Eli Lilly Canada Inc.</t>
        </is>
      </c>
      <c r="C382" t="inlineStr">
        <is>
          <t>Concluded with an LOI</t>
        </is>
      </c>
      <c r="D382" t="inlineStr">
        <is>
          <t>Advanced or Metastatic Gastric Cancer or Gastro-esophageal Junction (GEJ) Adenocarcinoma</t>
        </is>
      </c>
      <c r="E382" t="inlineStr">
        <is>
          <t>20850</t>
        </is>
      </c>
      <c r="F382" t="inlineStr">
        <is>
          <t>Eli Lilly Canada Inc.</t>
        </is>
      </c>
      <c r="G382" t="inlineStr">
        <is>
          <t>pCODR 10059</t>
        </is>
      </c>
      <c r="H382">
        <v>42320</v>
      </c>
      <c r="I382" s="3">
        <v>42670</v>
      </c>
    </row>
    <row r="383">
      <c r="A383" s="2">
        <f>HYPERLINK("https://www.pcpacanada.ca/negotiation/20849", "Eliquis  (apixaban)")</f>
        <v>0</v>
      </c>
      <c r="B383" t="inlineStr">
        <is>
          <t>Bristol Myers Squibb Canada Inc.</t>
        </is>
      </c>
      <c r="C383" t="inlineStr">
        <is>
          <t>Concluded with an LOI</t>
        </is>
      </c>
      <c r="D383" t="inlineStr">
        <is>
          <t>Thromboembolic events (venous), treatment and prevention of recurrence</t>
        </is>
      </c>
      <c r="E383" t="inlineStr">
        <is>
          <t>20849</t>
        </is>
      </c>
      <c r="F383" t="inlineStr">
        <is>
          <t>Bristol Myers Squibb Canada Inc.</t>
        </is>
      </c>
      <c r="G383" t="inlineStr">
        <is>
          <t>SR0397-000</t>
        </is>
      </c>
      <c r="H383">
        <v>42166</v>
      </c>
      <c r="I383" s="3">
        <v>42194</v>
      </c>
    </row>
    <row r="384">
      <c r="A384" s="2">
        <f>HYPERLINK("https://www.pcpacanada.ca/negotiation/20848", "Holkira Pak  (ombitasvir/paritaprevir/ritonavir/dasabuvir)")</f>
        <v>0</v>
      </c>
      <c r="B384" t="inlineStr">
        <is>
          <t>AbbVie Corporation</t>
        </is>
      </c>
      <c r="C384" t="inlineStr">
        <is>
          <t>Concluded with an LOI</t>
        </is>
      </c>
      <c r="D384" t="inlineStr">
        <is>
          <t>Chronic Hepatitis C</t>
        </is>
      </c>
      <c r="E384" t="inlineStr">
        <is>
          <t>20848</t>
        </is>
      </c>
      <c r="F384" t="inlineStr">
        <is>
          <t>AbbVie Corporation</t>
        </is>
      </c>
      <c r="G384" t="inlineStr">
        <is>
          <t>SR0406-000</t>
        </is>
      </c>
      <c r="H384">
        <v>42121</v>
      </c>
      <c r="I384" s="3">
        <v>42171</v>
      </c>
    </row>
    <row r="385">
      <c r="A385" s="2">
        <f>HYPERLINK("https://www.pcpacanada.ca/negotiation/20847", "Abilify Maintena  (aripiprazole)")</f>
        <v>0</v>
      </c>
      <c r="B385" t="inlineStr">
        <is>
          <t>Otsuka Canada Pharmaceuticals</t>
        </is>
      </c>
      <c r="C385" t="inlineStr">
        <is>
          <t>Concluded with an LOI</t>
        </is>
      </c>
      <c r="D385" t="inlineStr">
        <is>
          <t>Schizophrenia</t>
        </is>
      </c>
      <c r="E385" t="inlineStr">
        <is>
          <t>20847</t>
        </is>
      </c>
      <c r="F385" t="inlineStr">
        <is>
          <t>Otsuka Canada Pharmaceuticals</t>
        </is>
      </c>
      <c r="G385" t="inlineStr">
        <is>
          <t>SR0366-000</t>
        </is>
      </c>
      <c r="H385">
        <v>42033</v>
      </c>
      <c r="I385" s="3">
        <v>42169</v>
      </c>
    </row>
    <row r="386">
      <c r="A386" s="2">
        <f>HYPERLINK("https://www.pcpacanada.ca/negotiation/20846", "Grastek  (phleum pratense)")</f>
        <v>0</v>
      </c>
      <c r="B386" t="inlineStr">
        <is>
          <t>Merck Canada Inc.</t>
        </is>
      </c>
      <c r="C386" t="inlineStr">
        <is>
          <t>Negotiations were not pursued</t>
        </is>
      </c>
      <c r="D386" t="inlineStr">
        <is>
          <t>Allergy</t>
        </is>
      </c>
      <c r="E386" t="inlineStr">
        <is>
          <t>20846</t>
        </is>
      </c>
      <c r="F386" t="inlineStr">
        <is>
          <t>Merck Canada Inc.</t>
        </is>
      </c>
      <c r="G386" t="inlineStr">
        <is>
          <t>SR0352</t>
        </is>
      </c>
      <c r="H386" t="inlineStr">
        <is>
          <t>Not Applicable</t>
        </is>
      </c>
      <c r="I386" s="3">
        <v>41942</v>
      </c>
    </row>
    <row r="387">
      <c r="A387" s="2">
        <f>HYPERLINK("https://www.pcpacanada.ca/negotiation/20845", "Yondelis  (trabectedin)")</f>
        <v>0</v>
      </c>
      <c r="B387" t="inlineStr">
        <is>
          <t>Janssen Inc.</t>
        </is>
      </c>
      <c r="C387" t="inlineStr">
        <is>
          <t>Negotiations were not pursued</t>
        </is>
      </c>
      <c r="D387" t="inlineStr">
        <is>
          <t>Metastatic Liposarcoma or Leiomyosarcoma</t>
        </is>
      </c>
      <c r="E387" t="inlineStr">
        <is>
          <t>20845</t>
        </is>
      </c>
      <c r="F387" t="inlineStr">
        <is>
          <t>Janssen Inc.</t>
        </is>
      </c>
      <c r="G387" t="inlineStr">
        <is>
          <t>pCODR 10071</t>
        </is>
      </c>
      <c r="H387" t="inlineStr">
        <is>
          <t>Not Applicable</t>
        </is>
      </c>
      <c r="I387" s="3">
        <v>42657</v>
      </c>
    </row>
    <row r="388">
      <c r="A388" s="2">
        <f>HYPERLINK("https://www.pcpacanada.ca/negotiation/20844", "Fentora  (fentanyl buccal)")</f>
        <v>0</v>
      </c>
      <c r="B388" t="inlineStr">
        <is>
          <t>Teva Canada Limited</t>
        </is>
      </c>
      <c r="C388" t="inlineStr">
        <is>
          <t>Negotiations were not pursued</t>
        </is>
      </c>
      <c r="D388" t="inlineStr">
        <is>
          <t>Pain (breakthrough), cancer (adults)</t>
        </is>
      </c>
      <c r="E388" t="inlineStr">
        <is>
          <t>20844</t>
        </is>
      </c>
      <c r="F388" t="inlineStr">
        <is>
          <t>Teva Canada Limited</t>
        </is>
      </c>
      <c r="G388" t="inlineStr">
        <is>
          <t>SR0494-000</t>
        </is>
      </c>
      <c r="H388" t="inlineStr">
        <is>
          <t>Not Applicable</t>
        </is>
      </c>
      <c r="I388" s="3">
        <v>42825</v>
      </c>
    </row>
    <row r="389">
      <c r="A389" s="2">
        <f>HYPERLINK("https://www.pcpacanada.ca/negotiation/20843", "Fampyra  (fampridine)")</f>
        <v>0</v>
      </c>
      <c r="B389" t="inlineStr">
        <is>
          <t>Biogen Canada Inc.</t>
        </is>
      </c>
      <c r="C389" t="inlineStr">
        <is>
          <t>Negotiations were not pursued</t>
        </is>
      </c>
      <c r="D389" t="inlineStr">
        <is>
          <t>Multiple Sclerosis, improve walking disability</t>
        </is>
      </c>
      <c r="E389" t="inlineStr">
        <is>
          <t>20843</t>
        </is>
      </c>
      <c r="F389" t="inlineStr">
        <is>
          <t>Biogen Canada Inc.</t>
        </is>
      </c>
      <c r="G389" t="inlineStr">
        <is>
          <t>SR0275</t>
        </is>
      </c>
      <c r="H389" t="inlineStr">
        <is>
          <t>Not Applicable</t>
        </is>
      </c>
      <c r="I389" s="3">
        <v>41670</v>
      </c>
    </row>
    <row r="390">
      <c r="A390" s="2">
        <f>HYPERLINK("https://www.pcpacanada.ca/negotiation/20842", "Sylvant  (siltuximab)")</f>
        <v>0</v>
      </c>
      <c r="B390" t="inlineStr">
        <is>
          <t>Janssen Inc.</t>
        </is>
      </c>
      <c r="C390" t="inlineStr">
        <is>
          <t>Concluded with an LOI</t>
        </is>
      </c>
      <c r="D390" t="inlineStr">
        <is>
          <t>Multicentric Castleman's Disease (MCD)</t>
        </is>
      </c>
      <c r="E390" t="inlineStr">
        <is>
          <t>20842</t>
        </is>
      </c>
      <c r="F390" t="inlineStr">
        <is>
          <t>Janssen Inc.</t>
        </is>
      </c>
      <c r="G390" t="inlineStr">
        <is>
          <t>pCODR 10052</t>
        </is>
      </c>
      <c r="H390">
        <v>42224</v>
      </c>
      <c r="I390" s="3">
        <v>42643</v>
      </c>
    </row>
    <row r="391">
      <c r="A391" s="2">
        <f>HYPERLINK("https://www.pcpacanada.ca/negotiation/20841", "Anoro Ellipta  (umeclidinium/vilanterol)")</f>
        <v>0</v>
      </c>
      <c r="B391" t="inlineStr">
        <is>
          <t>GlaxoSmithKline</t>
        </is>
      </c>
      <c r="C391" t="inlineStr">
        <is>
          <t>Concluded with an LOI</t>
        </is>
      </c>
      <c r="D391" t="inlineStr">
        <is>
          <t>Chronic Obstructive Pulmonary Disease</t>
        </is>
      </c>
      <c r="E391" t="inlineStr">
        <is>
          <t>20841</t>
        </is>
      </c>
      <c r="F391" t="inlineStr">
        <is>
          <t>GlaxoSmithKline</t>
        </is>
      </c>
      <c r="G391" t="inlineStr">
        <is>
          <t>SR0371-000</t>
        </is>
      </c>
      <c r="H391">
        <v>42039</v>
      </c>
      <c r="I391" s="3">
        <v>42125</v>
      </c>
    </row>
    <row r="392">
      <c r="A392" s="2">
        <f>HYPERLINK("https://www.pcpacanada.ca/negotiation/20840", "Revlimid  (lenalidomide)")</f>
        <v>0</v>
      </c>
      <c r="B392" t="inlineStr">
        <is>
          <t>Celgene Inc.</t>
        </is>
      </c>
      <c r="C392" t="inlineStr">
        <is>
          <t>Concluded with an LOI</t>
        </is>
      </c>
      <c r="D392" t="inlineStr">
        <is>
          <t>Multiple Myeloma (newly diagnosed)</t>
        </is>
      </c>
      <c r="E392" t="inlineStr">
        <is>
          <t>20840</t>
        </is>
      </c>
      <c r="F392" t="inlineStr">
        <is>
          <t>Celgene Inc.</t>
        </is>
      </c>
      <c r="G392" t="inlineStr">
        <is>
          <t>pCODR 10061</t>
        </is>
      </c>
      <c r="H392">
        <v>42348</v>
      </c>
      <c r="I392" s="3">
        <v>42627</v>
      </c>
    </row>
    <row r="393">
      <c r="A393" s="2">
        <f>HYPERLINK("https://www.pcpacanada.ca/negotiation/20839", "Rebif  (interferon beta-1a)")</f>
        <v>0</v>
      </c>
      <c r="B393" t="inlineStr">
        <is>
          <t>EMD Serono a Division of EMD Inc. Canada</t>
        </is>
      </c>
      <c r="C393" t="inlineStr">
        <is>
          <t>Concluded with an LOI</t>
        </is>
      </c>
      <c r="D393" t="inlineStr">
        <is>
          <t>Clinically Isolated Syndrome</t>
        </is>
      </c>
      <c r="E393" t="inlineStr">
        <is>
          <t>20839</t>
        </is>
      </c>
      <c r="F393" t="inlineStr">
        <is>
          <t>EMD Serono a Division of EMD Inc. Canada</t>
        </is>
      </c>
      <c r="G393" t="inlineStr">
        <is>
          <t>SR0298</t>
        </is>
      </c>
      <c r="H393">
        <v>41558</v>
      </c>
      <c r="I393" s="3">
        <v>42115</v>
      </c>
    </row>
    <row r="394">
      <c r="A394" s="2">
        <f>HYPERLINK("https://www.pcpacanada.ca/negotiation/20838", "Ultibro Breezhaler  (indacaterol/glycopyrronium)")</f>
        <v>0</v>
      </c>
      <c r="B394" t="inlineStr">
        <is>
          <t>Novartis Pharmaceuticals Canada Inc.</t>
        </is>
      </c>
      <c r="C394" t="inlineStr">
        <is>
          <t>Concluded with an LOI</t>
        </is>
      </c>
      <c r="D394" t="inlineStr">
        <is>
          <t>Chronic Obstructive Pulmonary Disease</t>
        </is>
      </c>
      <c r="E394" t="inlineStr">
        <is>
          <t>20838</t>
        </is>
      </c>
      <c r="F394" t="inlineStr">
        <is>
          <t>Novartis Pharmaceuticals Canada Inc.</t>
        </is>
      </c>
      <c r="G394" t="inlineStr">
        <is>
          <t>SR0369-000</t>
        </is>
      </c>
      <c r="H394">
        <v>42030</v>
      </c>
      <c r="I394" s="3">
        <v>42114</v>
      </c>
    </row>
    <row r="395">
      <c r="A395" s="2">
        <f>HYPERLINK("https://www.pcpacanada.ca/negotiation/20837", "Myrbetriq  (mirabegron)")</f>
        <v>0</v>
      </c>
      <c r="B395" t="inlineStr">
        <is>
          <t>Astellas Pharma Inc.</t>
        </is>
      </c>
      <c r="C395" t="inlineStr">
        <is>
          <t>Concluded with an LOI</t>
        </is>
      </c>
      <c r="D395" t="inlineStr">
        <is>
          <t>Overactive Bladder</t>
        </is>
      </c>
      <c r="E395" t="inlineStr">
        <is>
          <t>20837</t>
        </is>
      </c>
      <c r="F395" t="inlineStr">
        <is>
          <t>Astellas Pharma Inc.</t>
        </is>
      </c>
      <c r="G395" t="inlineStr">
        <is>
          <t>SR0363</t>
        </is>
      </c>
      <c r="H395">
        <v>42018</v>
      </c>
      <c r="I395" s="3">
        <v>42102</v>
      </c>
    </row>
    <row r="396">
      <c r="A396" s="2">
        <f>HYPERLINK("https://www.pcpacanada.ca/negotiation/20836", "Tivicay  (dolutegravir)")</f>
        <v>0</v>
      </c>
      <c r="B396" t="inlineStr">
        <is>
          <t>ViiV Healthcare</t>
        </is>
      </c>
      <c r="C396" t="inlineStr">
        <is>
          <t>Concluded with an LOI</t>
        </is>
      </c>
      <c r="D396" t="inlineStr">
        <is>
          <t>HIV Infection</t>
        </is>
      </c>
      <c r="E396" t="inlineStr">
        <is>
          <t>20836</t>
        </is>
      </c>
      <c r="F396" t="inlineStr">
        <is>
          <t>ViiV Healthcare</t>
        </is>
      </c>
      <c r="G396" t="inlineStr">
        <is>
          <t>SR0357</t>
        </is>
      </c>
      <c r="H396">
        <v>41940</v>
      </c>
      <c r="I396" s="3">
        <v>42102</v>
      </c>
    </row>
    <row r="397">
      <c r="A397" s="2">
        <f>HYPERLINK("https://www.pcpacanada.ca/negotiation/20835", "Inspra  (eplerenone)")</f>
        <v>0</v>
      </c>
      <c r="B397" t="inlineStr">
        <is>
          <t>Pfizer Canada ULC</t>
        </is>
      </c>
      <c r="C397" t="inlineStr">
        <is>
          <t>Concluded with an LOI</t>
        </is>
      </c>
      <c r="D397" t="inlineStr">
        <is>
          <t>Post myocardial infarction</t>
        </is>
      </c>
      <c r="E397" t="inlineStr">
        <is>
          <t>20835</t>
        </is>
      </c>
      <c r="F397" t="inlineStr">
        <is>
          <t>Pfizer Canada ULC</t>
        </is>
      </c>
      <c r="G397" t="inlineStr">
        <is>
          <t>SR0342</t>
        </is>
      </c>
      <c r="H397">
        <v>41768</v>
      </c>
      <c r="I397" s="3">
        <v>42094</v>
      </c>
    </row>
    <row r="398">
      <c r="A398" s="2">
        <f>HYPERLINK("https://www.pcpacanada.ca/negotiation/20834", "Iclusig  (ponatinib)")</f>
        <v>0</v>
      </c>
      <c r="B398" t="inlineStr">
        <is>
          <t>Paladin Labs Inc.</t>
        </is>
      </c>
      <c r="C398" t="inlineStr">
        <is>
          <t>Concluded with an LOI</t>
        </is>
      </c>
      <c r="D398" t="inlineStr">
        <is>
          <t>Chronic Myeloid Leukemia/Acute Lymphoblastic Leukemia</t>
        </is>
      </c>
      <c r="E398" t="inlineStr">
        <is>
          <t>20834</t>
        </is>
      </c>
      <c r="F398" t="inlineStr">
        <is>
          <t>Paladin Labs Inc.</t>
        </is>
      </c>
      <c r="G398" t="inlineStr">
        <is>
          <t>pCODR 10056</t>
        </is>
      </c>
      <c r="H398">
        <v>42305</v>
      </c>
      <c r="I398" s="3">
        <v>42555</v>
      </c>
    </row>
    <row r="399">
      <c r="A399" s="2">
        <f>HYPERLINK("https://www.pcpacanada.ca/negotiation/20833", "Sovaldi  (sofosbuvir)")</f>
        <v>0</v>
      </c>
      <c r="B399" t="inlineStr">
        <is>
          <t>Gilead Sciences Canada Inc.</t>
        </is>
      </c>
      <c r="C399" t="inlineStr">
        <is>
          <t>Concluded with an LOI</t>
        </is>
      </c>
      <c r="D399" t="inlineStr">
        <is>
          <t>Chronic Hepatitis C</t>
        </is>
      </c>
      <c r="E399" t="inlineStr">
        <is>
          <t>20833</t>
        </is>
      </c>
      <c r="F399" t="inlineStr">
        <is>
          <t>Gilead Sciences Canada Inc.</t>
        </is>
      </c>
      <c r="G399" t="inlineStr">
        <is>
          <t>SR0356</t>
        </is>
      </c>
      <c r="H399">
        <v>41884</v>
      </c>
      <c r="I399" s="3">
        <v>42040</v>
      </c>
    </row>
    <row r="400">
      <c r="A400" s="2">
        <f>HYPERLINK("https://www.pcpacanada.ca/negotiation/20832", "Breo Ellipta  (fluticasone furoate/vilanterol)")</f>
        <v>0</v>
      </c>
      <c r="B400" t="inlineStr">
        <is>
          <t>GlaxoSmithKline</t>
        </is>
      </c>
      <c r="C400" t="inlineStr">
        <is>
          <t>Concluded with an LOI</t>
        </is>
      </c>
      <c r="D400" t="inlineStr">
        <is>
          <t>Chronic Obstructive Pulmonary Disease</t>
        </is>
      </c>
      <c r="E400" t="inlineStr">
        <is>
          <t>20832</t>
        </is>
      </c>
      <c r="F400" t="inlineStr">
        <is>
          <t>GlaxoSmithKline</t>
        </is>
      </c>
      <c r="G400" t="inlineStr">
        <is>
          <t>SR0358</t>
        </is>
      </c>
      <c r="H400">
        <v>41918</v>
      </c>
      <c r="I400" s="3">
        <v>42038</v>
      </c>
    </row>
    <row r="401">
      <c r="A401" s="2">
        <f>HYPERLINK("https://www.pcpacanada.ca/negotiation/20831", "Egrifta  (tesamorelin)")</f>
        <v>0</v>
      </c>
      <c r="B401" t="inlineStr">
        <is>
          <t>Theratechnologies Inc.</t>
        </is>
      </c>
      <c r="C401" t="inlineStr">
        <is>
          <t>Negotiations were not pursued</t>
        </is>
      </c>
      <c r="D401" t="inlineStr">
        <is>
          <t>Lipodystrophy, HIV-infected patients</t>
        </is>
      </c>
      <c r="E401" t="inlineStr">
        <is>
          <t>20831</t>
        </is>
      </c>
      <c r="F401" t="inlineStr">
        <is>
          <t>Theratechnologies Inc.</t>
        </is>
      </c>
      <c r="G401" t="inlineStr">
        <is>
          <t>SR0477-000</t>
        </is>
      </c>
      <c r="H401" t="inlineStr">
        <is>
          <t>Not Applicable</t>
        </is>
      </c>
      <c r="I401" s="3">
        <v>42657</v>
      </c>
    </row>
    <row r="402">
      <c r="A402" s="2">
        <f>HYPERLINK("https://www.pcpacanada.ca/negotiation/20830", "Edarbyclor  (azilsartan medoxomil/chlorthalidone)")</f>
        <v>0</v>
      </c>
      <c r="B402" t="inlineStr">
        <is>
          <t>Takeda Canada Inc.</t>
        </is>
      </c>
      <c r="C402" t="inlineStr">
        <is>
          <t>Negotiations were not pursued</t>
        </is>
      </c>
      <c r="D402" t="inlineStr">
        <is>
          <t>Hypertension</t>
        </is>
      </c>
      <c r="E402" t="inlineStr">
        <is>
          <t>20830</t>
        </is>
      </c>
      <c r="F402" t="inlineStr">
        <is>
          <t>Takeda Canada Inc.</t>
        </is>
      </c>
      <c r="G402" t="inlineStr">
        <is>
          <t>SR0318</t>
        </is>
      </c>
      <c r="H402" t="inlineStr">
        <is>
          <t>Not Applicable</t>
        </is>
      </c>
      <c r="I402" s="3">
        <v>41590</v>
      </c>
    </row>
    <row r="403">
      <c r="A403" s="2">
        <f>HYPERLINK("https://www.pcpacanada.ca/negotiation/20829", "Zydelig  (idelalisib)")</f>
        <v>0</v>
      </c>
      <c r="B403" t="inlineStr">
        <is>
          <t>Gilead Sciences Canada Inc.</t>
        </is>
      </c>
      <c r="C403" t="inlineStr">
        <is>
          <t>Concluded with an LOI</t>
        </is>
      </c>
      <c r="D403" t="inlineStr">
        <is>
          <t>Chronic Lymphocytic Leukemia</t>
        </is>
      </c>
      <c r="E403" t="inlineStr">
        <is>
          <t>20829</t>
        </is>
      </c>
      <c r="F403" t="inlineStr">
        <is>
          <t>Gilead Sciences Canada Inc.</t>
        </is>
      </c>
      <c r="G403" t="inlineStr">
        <is>
          <t>pCODR 10057</t>
        </is>
      </c>
      <c r="H403">
        <v>42271</v>
      </c>
      <c r="I403" s="3">
        <v>42524</v>
      </c>
    </row>
    <row r="404">
      <c r="A404" s="2">
        <f>HYPERLINK("https://www.pcpacanada.ca/negotiation/20828", "Edarbi  (azilsartan medoxomil)")</f>
        <v>0</v>
      </c>
      <c r="B404" t="inlineStr">
        <is>
          <t>Takeda Canada Inc.</t>
        </is>
      </c>
      <c r="C404" t="inlineStr">
        <is>
          <t>Negotiations were not pursued</t>
        </is>
      </c>
      <c r="D404" t="inlineStr">
        <is>
          <t>Hypertension</t>
        </is>
      </c>
      <c r="E404" t="inlineStr">
        <is>
          <t>20828</t>
        </is>
      </c>
      <c r="F404" t="inlineStr">
        <is>
          <t>Takeda Canada Inc.</t>
        </is>
      </c>
      <c r="G404" t="inlineStr">
        <is>
          <t>Not Applicable</t>
        </is>
      </c>
      <c r="H404" t="inlineStr">
        <is>
          <t>Not Applicable</t>
        </is>
      </c>
      <c r="I404" s="3">
        <v>41590</v>
      </c>
    </row>
    <row r="405">
      <c r="A405" s="2">
        <f>HYPERLINK("https://www.pcpacanada.ca/negotiation/20827", "Dymista  (azelastine/fluticasone propionate)")</f>
        <v>0</v>
      </c>
      <c r="B405" t="inlineStr">
        <is>
          <t>Meda Pharmaceuticals</t>
        </is>
      </c>
      <c r="C405" t="inlineStr">
        <is>
          <t>Negotiations were not pursued</t>
        </is>
      </c>
      <c r="D405" t="inlineStr">
        <is>
          <t>Seasonal allergic rhinitis</t>
        </is>
      </c>
      <c r="E405" t="inlineStr">
        <is>
          <t>20827</t>
        </is>
      </c>
      <c r="F405" t="inlineStr">
        <is>
          <t>Meda Pharmaceuticals</t>
        </is>
      </c>
      <c r="G405" t="inlineStr">
        <is>
          <t>SR0408-000</t>
        </is>
      </c>
      <c r="H405" t="inlineStr">
        <is>
          <t>Not Applicable</t>
        </is>
      </c>
      <c r="I405" s="3">
        <v>42209</v>
      </c>
    </row>
    <row r="406">
      <c r="A406" s="2">
        <f>HYPERLINK("https://www.pcpacanada.ca/negotiation/20826", "Tafinlar/Mekinist  (dabrafenib/trametinib)")</f>
        <v>0</v>
      </c>
      <c r="B406" t="inlineStr">
        <is>
          <t>Novartis Pharmaceuticals Canada Inc.</t>
        </is>
      </c>
      <c r="C406" t="inlineStr">
        <is>
          <t>Concluded with an LOI</t>
        </is>
      </c>
      <c r="D406" t="inlineStr">
        <is>
          <t>Metastatic Melanoma</t>
        </is>
      </c>
      <c r="E406" t="inlineStr">
        <is>
          <t>20826</t>
        </is>
      </c>
      <c r="F406" t="inlineStr">
        <is>
          <t>Novartis Pharmaceuticals Canada Inc.</t>
        </is>
      </c>
      <c r="G406" t="inlineStr">
        <is>
          <t>Not Applicable</t>
        </is>
      </c>
      <c r="H406">
        <v>42265</v>
      </c>
      <c r="I406" s="3">
        <v>42515</v>
      </c>
    </row>
    <row r="407">
      <c r="A407" s="2">
        <f>HYPERLINK("https://www.pcpacanada.ca/negotiation/20825", "Cortiment  (budesonide)")</f>
        <v>0</v>
      </c>
      <c r="B407" t="inlineStr">
        <is>
          <t>Ferring</t>
        </is>
      </c>
      <c r="C407" t="inlineStr">
        <is>
          <t>Negotiations were not pursued</t>
        </is>
      </c>
      <c r="D407" t="inlineStr">
        <is>
          <t>Ulcerative Colitis</t>
        </is>
      </c>
      <c r="E407" t="inlineStr">
        <is>
          <t>20825</t>
        </is>
      </c>
      <c r="F407" t="inlineStr">
        <is>
          <t>Ferring</t>
        </is>
      </c>
      <c r="G407" t="inlineStr">
        <is>
          <t>SR0491-000</t>
        </is>
      </c>
      <c r="H407" t="inlineStr">
        <is>
          <t>Not Applicable</t>
        </is>
      </c>
      <c r="I407" s="3">
        <v>42832</v>
      </c>
    </row>
    <row r="408">
      <c r="A408" s="2">
        <f>HYPERLINK("https://www.pcpacanada.ca/negotiation/20824", "Jetrea  (ocriplasmin)")</f>
        <v>0</v>
      </c>
      <c r="B408" t="inlineStr">
        <is>
          <t>Alcon</t>
        </is>
      </c>
      <c r="C408" t="inlineStr">
        <is>
          <t>Concluded with an LOI</t>
        </is>
      </c>
      <c r="D408" t="inlineStr">
        <is>
          <t>Vitreomacular Adhesion</t>
        </is>
      </c>
      <c r="E408" t="inlineStr">
        <is>
          <t>20824</t>
        </is>
      </c>
      <c r="F408" t="inlineStr">
        <is>
          <t>Alcon</t>
        </is>
      </c>
      <c r="G408" t="inlineStr">
        <is>
          <t>SR0337</t>
        </is>
      </c>
      <c r="H408">
        <v>41702</v>
      </c>
      <c r="I408" s="3">
        <v>41922</v>
      </c>
    </row>
    <row r="409">
      <c r="A409" s="2">
        <f>HYPERLINK("https://www.pcpacanada.ca/negotiation/20823", "Constella  (linaclotide)")</f>
        <v>0</v>
      </c>
      <c r="B409" t="inlineStr">
        <is>
          <t>Forest Laboratories Canada</t>
        </is>
      </c>
      <c r="C409" t="inlineStr">
        <is>
          <t>Negotiations were not pursued</t>
        </is>
      </c>
      <c r="D409" t="inlineStr">
        <is>
          <t>Irritable bowel syndrome with constipation</t>
        </is>
      </c>
      <c r="E409" t="inlineStr">
        <is>
          <t>20823</t>
        </is>
      </c>
      <c r="F409" t="inlineStr">
        <is>
          <t>Forest Laboratories Canada</t>
        </is>
      </c>
      <c r="G409" t="inlineStr">
        <is>
          <t>SR0409-000</t>
        </is>
      </c>
      <c r="H409" t="inlineStr">
        <is>
          <t>Not Applicable</t>
        </is>
      </c>
      <c r="I409" s="3">
        <v>42310</v>
      </c>
    </row>
    <row r="410">
      <c r="A410" s="2">
        <f>HYPERLINK("https://www.pcpacanada.ca/negotiation/20822", "Xarelto  (rivaroxaban)")</f>
        <v>0</v>
      </c>
      <c r="B410" t="inlineStr">
        <is>
          <t>Bayer Inc.</t>
        </is>
      </c>
      <c r="C410" t="inlineStr">
        <is>
          <t>Concluded with an LOI</t>
        </is>
      </c>
      <c r="D410" t="inlineStr">
        <is>
          <t>Thromboembolic events (venous), pulmonary embolism</t>
        </is>
      </c>
      <c r="E410" t="inlineStr">
        <is>
          <t>20822</t>
        </is>
      </c>
      <c r="F410" t="inlineStr">
        <is>
          <t>Bayer Inc.</t>
        </is>
      </c>
      <c r="G410" t="inlineStr">
        <is>
          <t>SR0327</t>
        </is>
      </c>
      <c r="H410">
        <v>41787</v>
      </c>
      <c r="I410" s="3">
        <v>41849</v>
      </c>
    </row>
    <row r="411">
      <c r="A411" s="2">
        <f>HYPERLINK("https://www.pcpacanada.ca/negotiation/20821", "Keytruda  (pembrolizumab)")</f>
        <v>0</v>
      </c>
      <c r="B411" t="inlineStr">
        <is>
          <t>Merck Canada Inc.</t>
        </is>
      </c>
      <c r="C411" t="inlineStr">
        <is>
          <t>Concluded with an LOI</t>
        </is>
      </c>
      <c r="D411" t="inlineStr">
        <is>
          <t>Metastatic Melanoma</t>
        </is>
      </c>
      <c r="E411" t="inlineStr">
        <is>
          <t>20821</t>
        </is>
      </c>
      <c r="F411" t="inlineStr">
        <is>
          <t>Merck Canada Inc.</t>
        </is>
      </c>
      <c r="G411" t="inlineStr">
        <is>
          <t>pCODR 10058</t>
        </is>
      </c>
      <c r="H411">
        <v>42346</v>
      </c>
      <c r="I411" s="3">
        <v>42410</v>
      </c>
    </row>
    <row r="412">
      <c r="A412" s="2">
        <f>HYPERLINK("https://www.pcpacanada.ca/negotiation/20820", "Zykadia  (ceritinib)")</f>
        <v>0</v>
      </c>
      <c r="B412" t="inlineStr">
        <is>
          <t>Novartis Pharmaceuticals Canada Inc.</t>
        </is>
      </c>
      <c r="C412" t="inlineStr">
        <is>
          <t>Negotiations were not pursued</t>
        </is>
      </c>
      <c r="D412" t="inlineStr">
        <is>
          <t>Non-Small Cell Lung Cancer (metastatic)</t>
        </is>
      </c>
      <c r="E412" t="inlineStr">
        <is>
          <t>20820</t>
        </is>
      </c>
      <c r="F412" t="inlineStr">
        <is>
          <t>Novartis Pharmaceuticals Canada Inc.</t>
        </is>
      </c>
      <c r="G412" t="inlineStr">
        <is>
          <t>pCODR 10062</t>
        </is>
      </c>
      <c r="H412" t="inlineStr">
        <is>
          <t>Not Applicable</t>
        </is>
      </c>
      <c r="I412" s="3">
        <v>42405</v>
      </c>
    </row>
    <row r="413">
      <c r="A413" s="2">
        <f>HYPERLINK("https://www.pcpacanada.ca/negotiation/20819", "Bosulif  (bosutinib)")</f>
        <v>0</v>
      </c>
      <c r="B413" t="inlineStr">
        <is>
          <t>Pfizer Canada ULC</t>
        </is>
      </c>
      <c r="C413" t="inlineStr">
        <is>
          <t>Concluded with an LOI</t>
        </is>
      </c>
      <c r="D413" t="inlineStr">
        <is>
          <t>Chronic Myeloid Leukemia</t>
        </is>
      </c>
      <c r="E413" t="inlineStr">
        <is>
          <t>20819</t>
        </is>
      </c>
      <c r="F413" t="inlineStr">
        <is>
          <t>Pfizer Canada ULC</t>
        </is>
      </c>
      <c r="G413" t="inlineStr">
        <is>
          <t>pCODR 10039</t>
        </is>
      </c>
      <c r="H413" t="inlineStr">
        <is>
          <t>Not Applicable</t>
        </is>
      </c>
      <c r="I413" s="3">
        <v>42317</v>
      </c>
    </row>
    <row r="414">
      <c r="A414" s="2">
        <f>HYPERLINK("https://www.pcpacanada.ca/negotiation/20818", "Bystolic  (nebivolol)")</f>
        <v>0</v>
      </c>
      <c r="B414" t="inlineStr">
        <is>
          <t>Allergan Inc.</t>
        </is>
      </c>
      <c r="C414" t="inlineStr">
        <is>
          <t>Negotiations were not pursued</t>
        </is>
      </c>
      <c r="D414" t="inlineStr">
        <is>
          <t>Hypertension</t>
        </is>
      </c>
      <c r="E414" t="inlineStr">
        <is>
          <t>20818</t>
        </is>
      </c>
      <c r="F414" t="inlineStr">
        <is>
          <t>Allergan Inc.</t>
        </is>
      </c>
      <c r="G414" t="inlineStr">
        <is>
          <t>SR0307</t>
        </is>
      </c>
      <c r="H414" t="inlineStr">
        <is>
          <t>Not Applicable</t>
        </is>
      </c>
      <c r="I414" s="3">
        <v>41508</v>
      </c>
    </row>
    <row r="415">
      <c r="A415" s="2">
        <f>HYPERLINK("https://www.pcpacanada.ca/negotiation/20817", "Avastin  (bevacizumab)")</f>
        <v>0</v>
      </c>
      <c r="B415" t="inlineStr">
        <is>
          <t>Hoffmann-La Roche</t>
        </is>
      </c>
      <c r="C415" t="inlineStr">
        <is>
          <t>Concluded with an LOI</t>
        </is>
      </c>
      <c r="D415" t="inlineStr">
        <is>
          <t>Cervical Cancer</t>
        </is>
      </c>
      <c r="E415" t="inlineStr">
        <is>
          <t>20817</t>
        </is>
      </c>
      <c r="F415" t="inlineStr">
        <is>
          <t>Hoffmann-La Roche</t>
        </is>
      </c>
      <c r="G415" t="inlineStr">
        <is>
          <t>pCODR 10045</t>
        </is>
      </c>
      <c r="H415">
        <v>42124</v>
      </c>
      <c r="I415" s="3">
        <v>42312</v>
      </c>
    </row>
    <row r="416">
      <c r="A416" s="2">
        <f>HYPERLINK("https://www.pcpacanada.ca/negotiation/20816", "Xalkori  (crizotinib)")</f>
        <v>0</v>
      </c>
      <c r="B416" t="inlineStr">
        <is>
          <t>Pfizer Canada ULC</t>
        </is>
      </c>
      <c r="C416" t="inlineStr">
        <is>
          <t>Concluded with an LOI</t>
        </is>
      </c>
      <c r="D416" t="inlineStr">
        <is>
          <t>Non-Small Cell Lung Cancer (First Line)</t>
        </is>
      </c>
      <c r="E416" t="inlineStr">
        <is>
          <t>20816</t>
        </is>
      </c>
      <c r="F416" t="inlineStr">
        <is>
          <t>Pfizer Canada ULC</t>
        </is>
      </c>
      <c r="G416" t="inlineStr">
        <is>
          <t>pCODR 10054</t>
        </is>
      </c>
      <c r="H416">
        <v>42202</v>
      </c>
      <c r="I416" s="3">
        <v>42285</v>
      </c>
    </row>
    <row r="417">
      <c r="A417" s="2">
        <f>HYPERLINK("https://www.pcpacanada.ca/negotiation/20815", "Istodax  (romidepsin)")</f>
        <v>0</v>
      </c>
      <c r="B417" t="inlineStr">
        <is>
          <t>Celgene Inc.</t>
        </is>
      </c>
      <c r="C417" t="inlineStr">
        <is>
          <t>Concluded with an LOI</t>
        </is>
      </c>
      <c r="D417" t="inlineStr">
        <is>
          <t>Peripheral T-Cell Lymphoma</t>
        </is>
      </c>
      <c r="E417" t="inlineStr">
        <is>
          <t>20815</t>
        </is>
      </c>
      <c r="F417" t="inlineStr">
        <is>
          <t>Celgene Inc.</t>
        </is>
      </c>
      <c r="G417" t="inlineStr">
        <is>
          <t>pCODR 10048</t>
        </is>
      </c>
      <c r="H417">
        <v>42157</v>
      </c>
      <c r="I417" s="3">
        <v>42263</v>
      </c>
    </row>
    <row r="418">
      <c r="A418" s="2">
        <f>HYPERLINK("https://www.pcpacanada.ca/negotiation/20814", "Perjeta (Perjeta/Herceptin)  (pertuzumab)")</f>
        <v>0</v>
      </c>
      <c r="B418" t="inlineStr">
        <is>
          <t>Hoffmann-La Roche</t>
        </is>
      </c>
      <c r="C418" t="inlineStr">
        <is>
          <t>Negotiations were not pursued</t>
        </is>
      </c>
      <c r="D418" t="inlineStr">
        <is>
          <t>Neoadjuvant Breast Cancer</t>
        </is>
      </c>
      <c r="E418" t="inlineStr">
        <is>
          <t>20814</t>
        </is>
      </c>
      <c r="F418" t="inlineStr">
        <is>
          <t>Hoffmann-La Roche</t>
        </is>
      </c>
      <c r="G418" t="inlineStr">
        <is>
          <t>Not Applicable</t>
        </is>
      </c>
      <c r="H418" t="inlineStr">
        <is>
          <t>Not Applicable</t>
        </is>
      </c>
      <c r="I418" s="3">
        <v>42214</v>
      </c>
    </row>
    <row r="419">
      <c r="A419" s="2">
        <f>HYPERLINK("https://www.pcpacanada.ca/negotiation/20813", "Apprilon  (doxycycline monohydrate)")</f>
        <v>0</v>
      </c>
      <c r="B419" t="inlineStr">
        <is>
          <t>Galderma Canada Inc.</t>
        </is>
      </c>
      <c r="C419" t="inlineStr">
        <is>
          <t>Negotiations were not pursued</t>
        </is>
      </c>
      <c r="D419" t="inlineStr">
        <is>
          <t>Rosacea</t>
        </is>
      </c>
      <c r="E419" t="inlineStr">
        <is>
          <t>20813</t>
        </is>
      </c>
      <c r="F419" t="inlineStr">
        <is>
          <t>Galderma Canada Inc.</t>
        </is>
      </c>
      <c r="G419" t="inlineStr">
        <is>
          <t>SR0279</t>
        </is>
      </c>
      <c r="H419" t="inlineStr">
        <is>
          <t>Not Applicable</t>
        </is>
      </c>
      <c r="I419" s="3">
        <v>41625</v>
      </c>
    </row>
    <row r="420">
      <c r="A420" s="2">
        <f>HYPERLINK("https://www.pcpacanada.ca/negotiation/20812", "Nexavar  (sorafenib)")</f>
        <v>0</v>
      </c>
      <c r="B420" t="inlineStr">
        <is>
          <t>Bayer Inc.</t>
        </is>
      </c>
      <c r="C420" t="inlineStr">
        <is>
          <t>Negotiations were not pursued</t>
        </is>
      </c>
      <c r="D420" t="inlineStr">
        <is>
          <t>Metastatic Progressive Differentiated Thyroid Carcinoma</t>
        </is>
      </c>
      <c r="E420" t="inlineStr">
        <is>
          <t>20812</t>
        </is>
      </c>
      <c r="F420" t="inlineStr">
        <is>
          <t>Bayer Inc.</t>
        </is>
      </c>
      <c r="G420" t="inlineStr">
        <is>
          <t>Not Applicable</t>
        </is>
      </c>
      <c r="H420" t="inlineStr">
        <is>
          <t>Not Applicable</t>
        </is>
      </c>
      <c r="I420" s="3">
        <v>42214</v>
      </c>
    </row>
    <row r="421">
      <c r="A421" s="2">
        <f>HYPERLINK("https://www.pcpacanada.ca/negotiation/20811", "Aloxi IV  (palonosetron hydrochloride)")</f>
        <v>0</v>
      </c>
      <c r="B421" t="inlineStr">
        <is>
          <t>Eisai Limited</t>
        </is>
      </c>
      <c r="C421" t="inlineStr">
        <is>
          <t>Negotiations were not pursued</t>
        </is>
      </c>
      <c r="D421" t="inlineStr">
        <is>
          <t>Nausea and vomiting (chemotherapy induced) prevention</t>
        </is>
      </c>
      <c r="E421" t="inlineStr">
        <is>
          <t>20811</t>
        </is>
      </c>
      <c r="F421" t="inlineStr">
        <is>
          <t>Eisai Limited</t>
        </is>
      </c>
      <c r="G421" t="inlineStr">
        <is>
          <t>Not Applicable</t>
        </is>
      </c>
      <c r="H421" t="inlineStr">
        <is>
          <t>Not Applicable</t>
        </is>
      </c>
      <c r="I421" s="3">
        <v>41507</v>
      </c>
    </row>
    <row r="422">
      <c r="A422" s="2">
        <f>HYPERLINK("https://www.pcpacanada.ca/negotiation/20810", "Aloxi  (palonosetron hydrochloride)")</f>
        <v>0</v>
      </c>
      <c r="B422" t="inlineStr">
        <is>
          <t>Eisai Limited</t>
        </is>
      </c>
      <c r="C422" t="inlineStr">
        <is>
          <t>Negotiations were not pursued</t>
        </is>
      </c>
      <c r="D422" t="inlineStr">
        <is>
          <t>Nausea and vomiting (chemotherapy induced) prevention</t>
        </is>
      </c>
      <c r="E422" t="inlineStr">
        <is>
          <t>20810</t>
        </is>
      </c>
      <c r="F422" t="inlineStr">
        <is>
          <t>Eisai Limited</t>
        </is>
      </c>
      <c r="G422" t="inlineStr">
        <is>
          <t>Not Applicable</t>
        </is>
      </c>
      <c r="H422" t="inlineStr">
        <is>
          <t>Not Applicable</t>
        </is>
      </c>
      <c r="I422" s="3">
        <v>41507</v>
      </c>
    </row>
    <row r="423">
      <c r="A423" s="2">
        <f>HYPERLINK("https://www.pcpacanada.ca/negotiation/20809", "Xtandi  (enzalutamide)")</f>
        <v>0</v>
      </c>
      <c r="B423" t="inlineStr">
        <is>
          <t>Astellas Pharma Inc.</t>
        </is>
      </c>
      <c r="C423" t="inlineStr">
        <is>
          <t>Concluded with an LOI</t>
        </is>
      </c>
      <c r="D423" t="inlineStr">
        <is>
          <t>Metastatic Castration Resistant Prostate Cancer</t>
        </is>
      </c>
      <c r="E423" t="inlineStr">
        <is>
          <t>20809</t>
        </is>
      </c>
      <c r="F423" t="inlineStr">
        <is>
          <t>Astellas Pharma Inc.</t>
        </is>
      </c>
      <c r="G423" t="inlineStr">
        <is>
          <t>pCODR 10044</t>
        </is>
      </c>
      <c r="H423">
        <v>42179</v>
      </c>
      <c r="I423" s="3">
        <v>42207</v>
      </c>
    </row>
    <row r="424">
      <c r="A424" s="2">
        <f>HYPERLINK("https://www.pcpacanada.ca/negotiation/20808", "Afinitor  (everolimus)")</f>
        <v>0</v>
      </c>
      <c r="B424" t="inlineStr">
        <is>
          <t>Novartis Pharmaceuticals Canada Inc.</t>
        </is>
      </c>
      <c r="C424" t="inlineStr">
        <is>
          <t>Negotiations were not pursued</t>
        </is>
      </c>
      <c r="D424" t="inlineStr">
        <is>
          <t>Subependymal giant cell astrocytoma associated with tuberous sclerosis complex</t>
        </is>
      </c>
      <c r="E424" t="inlineStr">
        <is>
          <t>20808</t>
        </is>
      </c>
      <c r="F424" t="inlineStr">
        <is>
          <t>Novartis Pharmaceuticals Canada Inc.</t>
        </is>
      </c>
      <c r="G424" t="inlineStr">
        <is>
          <t>SR0376-000</t>
        </is>
      </c>
      <c r="H424" t="inlineStr">
        <is>
          <t>Not Applicable</t>
        </is>
      </c>
      <c r="I424" s="3">
        <v>42185</v>
      </c>
    </row>
    <row r="425">
      <c r="A425" s="2">
        <f>HYPERLINK("https://www.pcpacanada.ca/negotiation/20807", "Imbruvica  (ibrutinib)")</f>
        <v>0</v>
      </c>
      <c r="B425" t="inlineStr">
        <is>
          <t>Janssen Inc.</t>
        </is>
      </c>
      <c r="C425" t="inlineStr">
        <is>
          <t>Concluded with an LOI</t>
        </is>
      </c>
      <c r="D425" t="inlineStr">
        <is>
          <t>Chronic Lymphocytic Leukemia/Small Lymphocytic Lymphoma</t>
        </is>
      </c>
      <c r="E425" t="inlineStr">
        <is>
          <t>20807</t>
        </is>
      </c>
      <c r="F425" t="inlineStr">
        <is>
          <t>Janssen Inc.</t>
        </is>
      </c>
      <c r="G425" t="inlineStr">
        <is>
          <t>pCODR 10043</t>
        </is>
      </c>
      <c r="H425">
        <v>42069</v>
      </c>
      <c r="I425" s="3">
        <v>42157</v>
      </c>
    </row>
    <row r="426">
      <c r="A426" s="2">
        <f>HYPERLINK("https://www.pcpacanada.ca/negotiation/20806", "Gazyva  (obinutuzumab)")</f>
        <v>0</v>
      </c>
      <c r="B426" t="inlineStr">
        <is>
          <t>Hoffmann-La Roche</t>
        </is>
      </c>
      <c r="C426" t="inlineStr">
        <is>
          <t>Concluded with an LOI</t>
        </is>
      </c>
      <c r="D426" t="inlineStr">
        <is>
          <t>Chronic Lymphocytic Leukemia</t>
        </is>
      </c>
      <c r="E426" t="inlineStr">
        <is>
          <t>20806</t>
        </is>
      </c>
      <c r="F426" t="inlineStr">
        <is>
          <t>Hoffmann-La Roche</t>
        </is>
      </c>
      <c r="G426" t="inlineStr">
        <is>
          <t>Not Applicable</t>
        </is>
      </c>
      <c r="H426">
        <v>42045</v>
      </c>
      <c r="I426" s="3">
        <v>42139</v>
      </c>
    </row>
    <row r="427">
      <c r="A427" s="2">
        <f>HYPERLINK("https://www.pcpacanada.ca/negotiation/20805", "Abraxane  (nab-paclitaxel)")</f>
        <v>0</v>
      </c>
      <c r="B427" t="inlineStr">
        <is>
          <t>Celgene Inc.</t>
        </is>
      </c>
      <c r="C427" t="inlineStr">
        <is>
          <t>Concluded with an LOI</t>
        </is>
      </c>
      <c r="D427" t="inlineStr">
        <is>
          <t>Metastatic Pancreatic Cancer</t>
        </is>
      </c>
      <c r="E427" t="inlineStr">
        <is>
          <t>20805</t>
        </is>
      </c>
      <c r="F427" t="inlineStr">
        <is>
          <t>Celgene Inc.</t>
        </is>
      </c>
      <c r="G427" t="inlineStr">
        <is>
          <t>pCODR 10037</t>
        </is>
      </c>
      <c r="H427">
        <v>41941</v>
      </c>
      <c r="I427" s="3">
        <v>42065</v>
      </c>
    </row>
    <row r="428">
      <c r="A428" s="2">
        <f>HYPERLINK("https://www.pcpacanada.ca/negotiation/20804", "Yervoy  (ipilimumab)")</f>
        <v>0</v>
      </c>
      <c r="B428" t="inlineStr">
        <is>
          <t>Bristol Myers Squibb Canada Inc.</t>
        </is>
      </c>
      <c r="C428" t="inlineStr">
        <is>
          <t>Concluded with an LOI</t>
        </is>
      </c>
      <c r="D428" t="inlineStr">
        <is>
          <t>First Line Advanced Melanoma</t>
        </is>
      </c>
      <c r="E428" t="inlineStr">
        <is>
          <t>20804</t>
        </is>
      </c>
      <c r="F428" t="inlineStr">
        <is>
          <t>Bristol Myers Squibb Canada Inc.</t>
        </is>
      </c>
      <c r="G428" t="inlineStr">
        <is>
          <t>pCODR 10042</t>
        </is>
      </c>
      <c r="H428" t="inlineStr">
        <is>
          <t>Not Applicable</t>
        </is>
      </c>
      <c r="I428" s="3">
        <v>42065</v>
      </c>
    </row>
    <row r="429">
      <c r="A429" s="2">
        <f>HYPERLINK("https://www.pcpacanada.ca/negotiation/20803", "Arzerra  (ofatumumab)")</f>
        <v>0</v>
      </c>
      <c r="B429" t="inlineStr">
        <is>
          <t>GlaxoSmithKline</t>
        </is>
      </c>
      <c r="C429" t="inlineStr">
        <is>
          <t>Negotiations were not pursued</t>
        </is>
      </c>
      <c r="D429" t="inlineStr">
        <is>
          <t>Chronic Lymphocytic Leukemia</t>
        </is>
      </c>
      <c r="E429" t="inlineStr">
        <is>
          <t>20803</t>
        </is>
      </c>
      <c r="F429" t="inlineStr">
        <is>
          <t>GlaxoSmithKline</t>
        </is>
      </c>
      <c r="G429" t="inlineStr">
        <is>
          <t>Not Applicable</t>
        </is>
      </c>
      <c r="H429" t="inlineStr">
        <is>
          <t>Not Applicable</t>
        </is>
      </c>
      <c r="I429" s="3">
        <v>42062</v>
      </c>
    </row>
    <row r="430">
      <c r="A430" s="2">
        <f>HYPERLINK("https://www.pcpacanada.ca/negotiation/20802", "Afinitor  (everolimus)")</f>
        <v>0</v>
      </c>
      <c r="B430" t="inlineStr">
        <is>
          <t>Novartis Pharmaceuticals Canada Inc.</t>
        </is>
      </c>
      <c r="C430" t="inlineStr">
        <is>
          <t>Negotiations were not pursued</t>
        </is>
      </c>
      <c r="D430" t="inlineStr">
        <is>
          <t>renal angiomyolipoma associated with tuberous sclerosis complex (TSC)</t>
        </is>
      </c>
      <c r="E430" t="inlineStr">
        <is>
          <t>20802</t>
        </is>
      </c>
      <c r="F430" t="inlineStr">
        <is>
          <t>Novartis Pharmaceuticals Canada Inc.</t>
        </is>
      </c>
      <c r="G430" t="inlineStr">
        <is>
          <t>SR0315-000</t>
        </is>
      </c>
      <c r="H430" t="inlineStr">
        <is>
          <t>Not Applicable</t>
        </is>
      </c>
      <c r="I430" s="3">
        <v>41579</v>
      </c>
    </row>
    <row r="431">
      <c r="A431" s="2">
        <f>HYPERLINK("https://www.pcpacanada.ca/negotiation/20801", "Adempas  (riociguat)")</f>
        <v>0</v>
      </c>
      <c r="B431" t="inlineStr">
        <is>
          <t>Bayer Inc.</t>
        </is>
      </c>
      <c r="C431" t="inlineStr">
        <is>
          <t>Negotiations were not pursued</t>
        </is>
      </c>
      <c r="D431" t="inlineStr">
        <is>
          <t>Pulmonary Arterial Hypertension (WHO group 1)</t>
        </is>
      </c>
      <c r="E431" t="inlineStr">
        <is>
          <t>20801</t>
        </is>
      </c>
      <c r="F431" t="inlineStr">
        <is>
          <t>Bayer Inc.</t>
        </is>
      </c>
      <c r="G431" t="inlineStr">
        <is>
          <t>SR0438-000</t>
        </is>
      </c>
      <c r="H431" t="inlineStr">
        <is>
          <t>Not Applicable</t>
        </is>
      </c>
      <c r="I431" s="3">
        <v>42766</v>
      </c>
    </row>
    <row r="432">
      <c r="A432" s="2">
        <f>HYPERLINK("https://www.pcpacanada.ca/negotiation/20800", "Abilify  (aripiprazole)")</f>
        <v>0</v>
      </c>
      <c r="B432" t="inlineStr">
        <is>
          <t>Bristol Myers Squibb Canada Inc.</t>
        </is>
      </c>
      <c r="C432" t="inlineStr">
        <is>
          <t>Negotiations were not pursued</t>
        </is>
      </c>
      <c r="D432" t="inlineStr">
        <is>
          <t>Major Depressive Disorder</t>
        </is>
      </c>
      <c r="E432" t="inlineStr">
        <is>
          <t>20800</t>
        </is>
      </c>
      <c r="F432" t="inlineStr">
        <is>
          <t>Bristol Myers Squibb Canada Inc.</t>
        </is>
      </c>
      <c r="G432" t="inlineStr">
        <is>
          <t>SR0354</t>
        </is>
      </c>
      <c r="H432" t="inlineStr">
        <is>
          <t>Not Applicable</t>
        </is>
      </c>
      <c r="I432" s="3">
        <v>41975</v>
      </c>
    </row>
    <row r="433">
      <c r="A433" s="2">
        <f>HYPERLINK("https://www.pcpacanada.ca/negotiation/20799", "Pomalyst  (pomalidomide)")</f>
        <v>0</v>
      </c>
      <c r="B433" t="inlineStr">
        <is>
          <t>Celgene Inc.</t>
        </is>
      </c>
      <c r="C433" t="inlineStr">
        <is>
          <t>Concluded with an LOI</t>
        </is>
      </c>
      <c r="D433" t="inlineStr">
        <is>
          <t>Multiple Myeloma</t>
        </is>
      </c>
      <c r="E433" t="inlineStr">
        <is>
          <t>20799</t>
        </is>
      </c>
      <c r="F433" t="inlineStr">
        <is>
          <t>Celgene Inc.</t>
        </is>
      </c>
      <c r="G433" t="inlineStr">
        <is>
          <t>pCODR 10036</t>
        </is>
      </c>
      <c r="H433">
        <v>41872</v>
      </c>
      <c r="I433" s="3">
        <v>42027</v>
      </c>
    </row>
    <row r="434">
      <c r="A434" s="2">
        <f>HYPERLINK("https://www.pcpacanada.ca/negotiation/20798", "Zaltrap  (aflibercept)")</f>
        <v>0</v>
      </c>
      <c r="B434" t="inlineStr">
        <is>
          <t>Regeneron</t>
        </is>
      </c>
      <c r="C434" t="inlineStr">
        <is>
          <t>Negotiations were not pursued</t>
        </is>
      </c>
      <c r="D434" t="inlineStr">
        <is>
          <t>Metastatic Colorectal Cancer</t>
        </is>
      </c>
      <c r="E434" t="inlineStr">
        <is>
          <t>20798</t>
        </is>
      </c>
      <c r="F434" t="inlineStr">
        <is>
          <t>Regeneron</t>
        </is>
      </c>
      <c r="G434" t="inlineStr">
        <is>
          <t>pCODR 10035</t>
        </is>
      </c>
      <c r="H434" t="inlineStr">
        <is>
          <t>Not Applicable</t>
        </is>
      </c>
      <c r="I434" s="3">
        <v>41907</v>
      </c>
    </row>
    <row r="435">
      <c r="A435" s="2">
        <f>HYPERLINK("https://www.pcpacanada.ca/negotiation/20797", "Effient  (prasugrel)")</f>
        <v>0</v>
      </c>
      <c r="B435" t="inlineStr">
        <is>
          <t>Eli Lilly Canada Inc.</t>
        </is>
      </c>
      <c r="C435" t="inlineStr">
        <is>
          <t>Concluded with an LOI</t>
        </is>
      </c>
      <c r="D435" t="inlineStr">
        <is>
          <t>Acute Coronary Syndrome</t>
        </is>
      </c>
      <c r="E435" t="inlineStr">
        <is>
          <t>20797</t>
        </is>
      </c>
      <c r="F435" t="inlineStr">
        <is>
          <t>Eli Lilly Canada Inc.</t>
        </is>
      </c>
      <c r="G435" t="inlineStr">
        <is>
          <t>S0263</t>
        </is>
      </c>
      <c r="H435">
        <v>41183</v>
      </c>
      <c r="I435" s="3">
        <v>41493</v>
      </c>
    </row>
    <row r="436">
      <c r="A436" s="2">
        <f>HYPERLINK("https://www.pcpacanada.ca/negotiation/20796", "Seebri  (glycopyrronium bromide)")</f>
        <v>0</v>
      </c>
      <c r="B436" t="inlineStr">
        <is>
          <t>Novartis Pharmaceuticals Canada Inc.</t>
        </is>
      </c>
      <c r="C436" t="inlineStr">
        <is>
          <t>Concluded with an LOI</t>
        </is>
      </c>
      <c r="D436" t="inlineStr">
        <is>
          <t>Chronic Obstructive Pulmonary Disease</t>
        </is>
      </c>
      <c r="E436" t="inlineStr">
        <is>
          <t>20796</t>
        </is>
      </c>
      <c r="F436" t="inlineStr">
        <is>
          <t>Novartis Pharmaceuticals Canada Inc.</t>
        </is>
      </c>
      <c r="G436" t="inlineStr">
        <is>
          <t>SR0300</t>
        </is>
      </c>
      <c r="H436">
        <v>41426</v>
      </c>
      <c r="I436" s="3">
        <v>41484</v>
      </c>
    </row>
    <row r="437">
      <c r="A437" s="2">
        <f>HYPERLINK("https://www.pcpacanada.ca/negotiation/20795", "Stribild  (elvitegravir/cobicistat/emtricitabine/tenofovir disoproxil fumarate)")</f>
        <v>0</v>
      </c>
      <c r="B437" t="inlineStr">
        <is>
          <t>Gilead Sciences Canada Inc.</t>
        </is>
      </c>
      <c r="C437" t="inlineStr">
        <is>
          <t>Concluded with an LOI</t>
        </is>
      </c>
      <c r="D437" t="inlineStr">
        <is>
          <t>HIV infection</t>
        </is>
      </c>
      <c r="E437" t="inlineStr">
        <is>
          <t>20795</t>
        </is>
      </c>
      <c r="F437" t="inlineStr">
        <is>
          <t>Gilead Sciences Canada Inc.</t>
        </is>
      </c>
      <c r="G437" t="inlineStr">
        <is>
          <t>SR0301</t>
        </is>
      </c>
      <c r="H437">
        <v>41435</v>
      </c>
      <c r="I437" s="3">
        <v>41466</v>
      </c>
    </row>
    <row r="438">
      <c r="A438" s="2">
        <f>HYPERLINK("https://www.pcpacanada.ca/negotiation/20794", "Stivarga  (regorafenib)")</f>
        <v>0</v>
      </c>
      <c r="B438" t="inlineStr">
        <is>
          <t>Bayer Inc.</t>
        </is>
      </c>
      <c r="C438" t="inlineStr">
        <is>
          <t>Concluded with an LOI</t>
        </is>
      </c>
      <c r="D438" t="inlineStr">
        <is>
          <t>Gastrointestinal Stromal Tumours</t>
        </is>
      </c>
      <c r="E438" t="inlineStr">
        <is>
          <t>20794</t>
        </is>
      </c>
      <c r="F438" t="inlineStr">
        <is>
          <t>Bayer Inc.</t>
        </is>
      </c>
      <c r="G438" t="inlineStr">
        <is>
          <t>pCODR 10034</t>
        </is>
      </c>
      <c r="H438" t="inlineStr">
        <is>
          <t>Not Applicable</t>
        </is>
      </c>
      <c r="I438" s="3">
        <v>41862</v>
      </c>
    </row>
    <row r="439">
      <c r="A439" s="2">
        <f>HYPERLINK("https://www.pcpacanada.ca/negotiation/20793", "Abilify  (aripiprazole)")</f>
        <v>0</v>
      </c>
      <c r="B439" t="inlineStr">
        <is>
          <t>Bristol Myers Squibb Canada Inc.</t>
        </is>
      </c>
      <c r="C439" t="inlineStr">
        <is>
          <t>Concluded without agreement</t>
        </is>
      </c>
      <c r="D439" t="inlineStr">
        <is>
          <t>Schizophrenia and Related Psychotic Disorders</t>
        </is>
      </c>
      <c r="E439" t="inlineStr">
        <is>
          <t>20793</t>
        </is>
      </c>
      <c r="F439" t="inlineStr">
        <is>
          <t>Bristol Myers Squibb Canada Inc.</t>
        </is>
      </c>
      <c r="G439" t="inlineStr">
        <is>
          <t>Not Applicable</t>
        </is>
      </c>
      <c r="H439">
        <v>42522</v>
      </c>
      <c r="I439" s="3">
        <v>42825</v>
      </c>
    </row>
    <row r="440">
      <c r="A440" s="2">
        <f>HYPERLINK("https://www.pcpacanada.ca/negotiation/20792", "Tysabri  (natalizumab)")</f>
        <v>0</v>
      </c>
      <c r="B440" t="inlineStr">
        <is>
          <t>Biogen Canada Inc.</t>
        </is>
      </c>
      <c r="C440" t="inlineStr">
        <is>
          <t>Concluded with an LOI</t>
        </is>
      </c>
      <c r="D440" t="inlineStr">
        <is>
          <t>Relapsing-Remitting Multiple Sclerosis</t>
        </is>
      </c>
      <c r="E440" t="inlineStr">
        <is>
          <t>20792</t>
        </is>
      </c>
      <c r="F440" t="inlineStr">
        <is>
          <t>Biogen Canada Inc.</t>
        </is>
      </c>
      <c r="G440" t="inlineStr">
        <is>
          <t>S0133</t>
        </is>
      </c>
      <c r="H440">
        <v>41609</v>
      </c>
      <c r="I440" s="3">
        <v>41403</v>
      </c>
    </row>
    <row r="441">
      <c r="A441" s="2">
        <f>HYPERLINK("https://www.pcpacanada.ca/negotiation/20791", "Revlimid  (lenalidomide)")</f>
        <v>0</v>
      </c>
      <c r="B441" t="inlineStr">
        <is>
          <t>Celgene Inc.</t>
        </is>
      </c>
      <c r="C441" t="inlineStr">
        <is>
          <t>Concluded with an LOI</t>
        </is>
      </c>
      <c r="D441" t="inlineStr">
        <is>
          <t>Multiple Myeloma</t>
        </is>
      </c>
      <c r="E441" t="inlineStr">
        <is>
          <t>20791</t>
        </is>
      </c>
      <c r="F441" t="inlineStr">
        <is>
          <t>Celgene Inc.</t>
        </is>
      </c>
      <c r="G441" t="inlineStr">
        <is>
          <t>pCODR 10029</t>
        </is>
      </c>
      <c r="H441">
        <v>41590</v>
      </c>
      <c r="I441" s="3">
        <v>41845</v>
      </c>
    </row>
    <row r="442">
      <c r="A442" s="2">
        <f>HYPERLINK("https://www.pcpacanada.ca/negotiation/20790", "Giotrif  (afatinib)")</f>
        <v>0</v>
      </c>
      <c r="B442" t="inlineStr">
        <is>
          <t>Boehringer Ingelheim (Canada) Ltd. Ltee.</t>
        </is>
      </c>
      <c r="C442" t="inlineStr">
        <is>
          <t>Concluded with an LOI</t>
        </is>
      </c>
      <c r="D442" t="inlineStr">
        <is>
          <t>Advanced Non Small Cell Lung Cancer</t>
        </is>
      </c>
      <c r="E442" t="inlineStr">
        <is>
          <t>20790</t>
        </is>
      </c>
      <c r="F442" t="inlineStr">
        <is>
          <t>Boehringer Ingelheim (Canada) Ltd. Ltee.</t>
        </is>
      </c>
      <c r="G442" t="inlineStr">
        <is>
          <t>pCODR 10032</t>
        </is>
      </c>
      <c r="H442">
        <v>41768</v>
      </c>
      <c r="I442" s="3">
        <v>41823</v>
      </c>
    </row>
    <row r="443">
      <c r="A443" s="2">
        <f>HYPERLINK("https://www.pcpacanada.ca/negotiation/20789", "Mekinist  (trametinib)")</f>
        <v>0</v>
      </c>
      <c r="B443" t="inlineStr">
        <is>
          <t>GlaxoSmithKline</t>
        </is>
      </c>
      <c r="C443" t="inlineStr">
        <is>
          <t>Concluded with an LOI</t>
        </is>
      </c>
      <c r="D443" t="inlineStr">
        <is>
          <t>Metastatic Melanoma</t>
        </is>
      </c>
      <c r="E443" t="inlineStr">
        <is>
          <t>20789</t>
        </is>
      </c>
      <c r="F443" t="inlineStr">
        <is>
          <t>GlaxoSmithKline</t>
        </is>
      </c>
      <c r="G443" t="inlineStr">
        <is>
          <t>pCODR 10030</t>
        </is>
      </c>
      <c r="H443">
        <v>41596</v>
      </c>
      <c r="I443" s="3">
        <v>41815</v>
      </c>
    </row>
    <row r="444">
      <c r="A444" s="2">
        <f>HYPERLINK("https://www.pcpacanada.ca/negotiation/20788", "Onbrez  (indacaterol)")</f>
        <v>0</v>
      </c>
      <c r="B444" t="inlineStr">
        <is>
          <t>Novartis Pharmaceuticals Canada Inc.</t>
        </is>
      </c>
      <c r="C444" t="inlineStr">
        <is>
          <t>Concluded with an LOI</t>
        </is>
      </c>
      <c r="D444" t="inlineStr">
        <is>
          <t>Chronic Obstructive Pulmonary Disease</t>
        </is>
      </c>
      <c r="E444" t="inlineStr">
        <is>
          <t>20788</t>
        </is>
      </c>
      <c r="F444" t="inlineStr">
        <is>
          <t>Novartis Pharmaceuticals Canada Inc.</t>
        </is>
      </c>
      <c r="G444" t="inlineStr">
        <is>
          <t>SR0273</t>
        </is>
      </c>
      <c r="H444">
        <v>41244</v>
      </c>
      <c r="I444" s="3">
        <v>41376</v>
      </c>
    </row>
    <row r="445">
      <c r="A445" s="2">
        <f>HYPERLINK("https://www.pcpacanada.ca/negotiation/20787", "Gilenya  (fingolimod)")</f>
        <v>0</v>
      </c>
      <c r="B445" t="inlineStr">
        <is>
          <t>Novartis Pharmaceuticals Canada Inc.</t>
        </is>
      </c>
      <c r="C445" t="inlineStr">
        <is>
          <t>Concluded with an LOI</t>
        </is>
      </c>
      <c r="D445" t="inlineStr">
        <is>
          <t>Multiple Sclerosis</t>
        </is>
      </c>
      <c r="E445" t="inlineStr">
        <is>
          <t>20787</t>
        </is>
      </c>
      <c r="F445" t="inlineStr">
        <is>
          <t>Novartis Pharmaceuticals Canada Inc.</t>
        </is>
      </c>
      <c r="G445" t="inlineStr">
        <is>
          <t>S0228</t>
        </is>
      </c>
      <c r="H445">
        <v>41091</v>
      </c>
      <c r="I445" s="3">
        <v>41337</v>
      </c>
    </row>
    <row r="446">
      <c r="A446" s="2">
        <f>HYPERLINK("https://www.pcpacanada.ca/negotiation/20786", "Tafinlar  (dabrafenib)")</f>
        <v>0</v>
      </c>
      <c r="B446" t="inlineStr">
        <is>
          <t>Novartis Pharmaceuticals Canada Inc.</t>
        </is>
      </c>
      <c r="C446" t="inlineStr">
        <is>
          <t>Concluded with an LOI</t>
        </is>
      </c>
      <c r="D446" t="inlineStr">
        <is>
          <t>Metastatic Melanoma</t>
        </is>
      </c>
      <c r="E446" t="inlineStr">
        <is>
          <t>20786</t>
        </is>
      </c>
      <c r="F446" t="inlineStr">
        <is>
          <t>Novartis Pharmaceuticals Canada Inc.</t>
        </is>
      </c>
      <c r="G446" t="inlineStr">
        <is>
          <t>pCODR 10025</t>
        </is>
      </c>
      <c r="H446" t="inlineStr">
        <is>
          <t>Not Applicable</t>
        </is>
      </c>
      <c r="I446" s="3">
        <v>41815</v>
      </c>
    </row>
    <row r="447">
      <c r="A447" s="2">
        <f>HYPERLINK("https://www.pcpacanada.ca/negotiation/20785", "Xarelto  (rivaroxaban)")</f>
        <v>0</v>
      </c>
      <c r="B447" t="inlineStr">
        <is>
          <t>Bayer Inc.</t>
        </is>
      </c>
      <c r="C447" t="inlineStr">
        <is>
          <t>Concluded with an LOI</t>
        </is>
      </c>
      <c r="D447" t="inlineStr">
        <is>
          <t>Atrial fibrillation, stroke prevention</t>
        </is>
      </c>
      <c r="E447" t="inlineStr">
        <is>
          <t>20785</t>
        </is>
      </c>
      <c r="F447" t="inlineStr">
        <is>
          <t>Bayer Inc.</t>
        </is>
      </c>
      <c r="G447" t="inlineStr">
        <is>
          <t>S0257</t>
        </is>
      </c>
      <c r="H447" t="inlineStr">
        <is>
          <t>Not Applicable</t>
        </is>
      </c>
      <c r="I447" s="3">
        <v>41079</v>
      </c>
    </row>
    <row r="448">
      <c r="A448" s="2">
        <f>HYPERLINK("https://www.pcpacanada.ca/negotiation/20784", "Pradaxa  (dabigatran etexilate)")</f>
        <v>0</v>
      </c>
      <c r="B448" t="inlineStr">
        <is>
          <t>Boehringer Ingelheim (Canada) Ltd. Ltee.</t>
        </is>
      </c>
      <c r="C448" t="inlineStr">
        <is>
          <t>Concluded with an LOI</t>
        </is>
      </c>
      <c r="D448" t="inlineStr">
        <is>
          <t>Atrial fibrillation prevention of stroke and systemic embolism</t>
        </is>
      </c>
      <c r="E448" t="inlineStr">
        <is>
          <t>20784</t>
        </is>
      </c>
      <c r="F448" t="inlineStr">
        <is>
          <t>Boehringer Ingelheim (Canada) Ltd. Ltee.</t>
        </is>
      </c>
      <c r="G448" t="inlineStr">
        <is>
          <t>S0214</t>
        </is>
      </c>
      <c r="H448">
        <v>41507</v>
      </c>
      <c r="I448" s="3">
        <v>40990</v>
      </c>
    </row>
    <row r="449">
      <c r="A449" s="2">
        <f>HYPERLINK("https://www.pcpacanada.ca/negotiation/20783", "Victoza  (liraglutide)")</f>
        <v>0</v>
      </c>
      <c r="B449" t="inlineStr">
        <is>
          <t>Novo Nordisk Canada Inc.</t>
        </is>
      </c>
      <c r="C449" t="inlineStr">
        <is>
          <t>Concluded without agreement</t>
        </is>
      </c>
      <c r="D449" t="inlineStr">
        <is>
          <t>Diabetes Mellitus, Type 2</t>
        </is>
      </c>
      <c r="E449" t="inlineStr">
        <is>
          <t>20783</t>
        </is>
      </c>
      <c r="F449" t="inlineStr">
        <is>
          <t>Novo Nordisk Canada Inc.</t>
        </is>
      </c>
      <c r="G449" t="inlineStr">
        <is>
          <t>Not Applicable</t>
        </is>
      </c>
      <c r="H449">
        <v>43131</v>
      </c>
      <c r="I449" s="3">
        <v>43553</v>
      </c>
    </row>
    <row r="450">
      <c r="A450" s="2">
        <f>HYPERLINK("https://www.pcpacanada.ca/negotiation/20782", "Humira  (adalimumab)")</f>
        <v>0</v>
      </c>
      <c r="B450" t="inlineStr">
        <is>
          <t>AbbVie Corporation</t>
        </is>
      </c>
      <c r="C450" t="inlineStr">
        <is>
          <t>Concluded with an LOI</t>
        </is>
      </c>
      <c r="D450" t="inlineStr">
        <is>
          <t>Hidradenitis Suppurativa</t>
        </is>
      </c>
      <c r="E450" t="inlineStr">
        <is>
          <t>20782</t>
        </is>
      </c>
      <c r="F450" t="inlineStr">
        <is>
          <t>AbbVie Corporation</t>
        </is>
      </c>
      <c r="G450" t="inlineStr">
        <is>
          <t>Not Applicable</t>
        </is>
      </c>
      <c r="H450">
        <v>42940</v>
      </c>
      <c r="I450" s="3">
        <v>43031</v>
      </c>
    </row>
    <row r="451">
      <c r="A451" s="2">
        <f>HYPERLINK("https://www.pcpacanada.ca/negotiation/20781", "Cinqair  (reslizumab)")</f>
        <v>0</v>
      </c>
      <c r="B451" t="inlineStr">
        <is>
          <t>Teva Canada Limited</t>
        </is>
      </c>
      <c r="C451" t="inlineStr">
        <is>
          <t>Concluded without agreement</t>
        </is>
      </c>
      <c r="D451" t="inlineStr">
        <is>
          <t>Eosinophilic Asthma</t>
        </is>
      </c>
      <c r="E451" t="inlineStr">
        <is>
          <t>20781</t>
        </is>
      </c>
      <c r="F451" t="inlineStr">
        <is>
          <t>Teva Canada Limited</t>
        </is>
      </c>
      <c r="G451" t="inlineStr">
        <is>
          <t>SR0495-000</t>
        </is>
      </c>
      <c r="H451">
        <v>42940</v>
      </c>
      <c r="I451" s="3">
        <v>43419</v>
      </c>
    </row>
    <row r="452">
      <c r="A452" s="2">
        <f>HYPERLINK("https://www.pcpacanada.ca/negotiation/20780", "Erivedge  (vismodegib)")</f>
        <v>0</v>
      </c>
      <c r="B452" t="inlineStr">
        <is>
          <t>Hoffmann-La Roche</t>
        </is>
      </c>
      <c r="C452" t="inlineStr">
        <is>
          <t>Concluded with an LOI</t>
        </is>
      </c>
      <c r="D452" t="inlineStr">
        <is>
          <t>Advanced Basal Cell Carcinoma</t>
        </is>
      </c>
      <c r="E452" t="inlineStr">
        <is>
          <t>20780</t>
        </is>
      </c>
      <c r="F452" t="inlineStr">
        <is>
          <t>Hoffmann-La Roche</t>
        </is>
      </c>
      <c r="G452" t="inlineStr">
        <is>
          <t>pCODR 10015</t>
        </is>
      </c>
      <c r="H452">
        <v>41660</v>
      </c>
      <c r="I452" s="3">
        <v>41730</v>
      </c>
    </row>
    <row r="453">
      <c r="A453" s="2">
        <f>HYPERLINK("https://www.pcpacanada.ca/negotiation/20779", "Kadcyla  (trastuzumab emtansine)")</f>
        <v>0</v>
      </c>
      <c r="B453" t="inlineStr">
        <is>
          <t>Hoffmann-La Roche</t>
        </is>
      </c>
      <c r="C453" t="inlineStr">
        <is>
          <t>Concluded with an LOI</t>
        </is>
      </c>
      <c r="D453" t="inlineStr">
        <is>
          <t>Metastatic Breast Cancer</t>
        </is>
      </c>
      <c r="E453" t="inlineStr">
        <is>
          <t>20779</t>
        </is>
      </c>
      <c r="F453" t="inlineStr">
        <is>
          <t>Hoffmann-La Roche</t>
        </is>
      </c>
      <c r="G453" t="inlineStr">
        <is>
          <t>pCODR 10024</t>
        </is>
      </c>
      <c r="H453" t="inlineStr">
        <is>
          <t>Not Applicable</t>
        </is>
      </c>
      <c r="I453" s="3">
        <v>41729</v>
      </c>
    </row>
    <row r="454">
      <c r="A454" s="2">
        <f>HYPERLINK("https://www.pcpacanada.ca/negotiation/20778", "Alimta  (pemetrexed)")</f>
        <v>0</v>
      </c>
      <c r="B454" t="inlineStr">
        <is>
          <t>Eli Lilly Canada Inc.</t>
        </is>
      </c>
      <c r="C454" t="inlineStr">
        <is>
          <t>Concluded with an LOI</t>
        </is>
      </c>
      <c r="D454" t="inlineStr">
        <is>
          <t>Advanced Non-Squamous Non Small Cell Lung Cancer</t>
        </is>
      </c>
      <c r="E454" t="inlineStr">
        <is>
          <t>20778</t>
        </is>
      </c>
      <c r="F454" t="inlineStr">
        <is>
          <t>Eli Lilly Canada Inc.</t>
        </is>
      </c>
      <c r="G454" t="inlineStr">
        <is>
          <t>pCODR 10027</t>
        </is>
      </c>
      <c r="H454">
        <v>41617</v>
      </c>
      <c r="I454" s="3">
        <v>41698</v>
      </c>
    </row>
    <row r="455">
      <c r="A455" s="2">
        <f>HYPERLINK("https://www.pcpacanada.ca/negotiation/20777", "Adcetris  (brentuximab vedotin)")</f>
        <v>0</v>
      </c>
      <c r="B455" t="inlineStr">
        <is>
          <t>Seattle Genetics Inc.</t>
        </is>
      </c>
      <c r="C455" t="inlineStr">
        <is>
          <t>Concluded with an LOI</t>
        </is>
      </c>
      <c r="D455" t="inlineStr">
        <is>
          <t>Systemic Anaplastic Large Cell Lymphoma</t>
        </is>
      </c>
      <c r="E455" t="inlineStr">
        <is>
          <t>20777</t>
        </is>
      </c>
      <c r="F455" t="inlineStr">
        <is>
          <t>Seattle Genetics Inc.</t>
        </is>
      </c>
      <c r="G455" t="inlineStr">
        <is>
          <t>pCODR 10021</t>
        </is>
      </c>
      <c r="H455">
        <v>41521</v>
      </c>
      <c r="I455" s="3">
        <v>41670</v>
      </c>
    </row>
    <row r="456">
      <c r="A456" s="2">
        <f>HYPERLINK("https://www.pcpacanada.ca/negotiation/20776", "Xiaflex  (collagenase clostridium histolyticum)")</f>
        <v>0</v>
      </c>
      <c r="B456" t="inlineStr">
        <is>
          <t>Auxillium Pharmaceuticals Inc.</t>
        </is>
      </c>
      <c r="C456" t="inlineStr">
        <is>
          <t>Negotiations were not pursued</t>
        </is>
      </c>
      <c r="D456" t="inlineStr">
        <is>
          <t>Dupuytren’s contracture with a palpable cord</t>
        </is>
      </c>
      <c r="E456" t="inlineStr">
        <is>
          <t>20776</t>
        </is>
      </c>
      <c r="F456" t="inlineStr">
        <is>
          <t>Auxillium Pharmaceuticals Inc.</t>
        </is>
      </c>
      <c r="G456" t="inlineStr">
        <is>
          <t>SR0287</t>
        </is>
      </c>
      <c r="H456" t="inlineStr">
        <is>
          <t>Not Applicable</t>
        </is>
      </c>
      <c r="I456" s="3">
        <v>41716</v>
      </c>
    </row>
    <row r="457">
      <c r="A457" s="2">
        <f>HYPERLINK("https://www.pcpacanada.ca/negotiation/20775", "Xgeva  (denosumab)")</f>
        <v>0</v>
      </c>
      <c r="B457" t="inlineStr">
        <is>
          <t>Amgen Canada Inc.</t>
        </is>
      </c>
      <c r="C457" t="inlineStr">
        <is>
          <t>Negotiations were not pursued</t>
        </is>
      </c>
      <c r="D457" t="inlineStr">
        <is>
          <t>Prevention of skeletal-related events due to bone metastases from breast cancer</t>
        </is>
      </c>
      <c r="E457" t="inlineStr">
        <is>
          <t>20775</t>
        </is>
      </c>
      <c r="F457" t="inlineStr">
        <is>
          <t>Amgen Canada Inc.</t>
        </is>
      </c>
      <c r="G457" t="inlineStr">
        <is>
          <t>SR0433-000</t>
        </is>
      </c>
      <c r="H457" t="inlineStr">
        <is>
          <t>Not Applicable</t>
        </is>
      </c>
      <c r="I457" s="3">
        <v>42766</v>
      </c>
    </row>
    <row r="458">
      <c r="A458" s="2">
        <f>HYPERLINK("https://www.pcpacanada.ca/negotiation/20774", "Zytiga  (abiraterone)")</f>
        <v>0</v>
      </c>
      <c r="B458" t="inlineStr">
        <is>
          <t>Janssen Inc.</t>
        </is>
      </c>
      <c r="C458" t="inlineStr">
        <is>
          <t>Concluded with an LOI</t>
        </is>
      </c>
      <c r="D458" t="inlineStr">
        <is>
          <t>Metastatic Castration Resistant Prostate Cancer</t>
        </is>
      </c>
      <c r="E458" t="inlineStr">
        <is>
          <t>20774</t>
        </is>
      </c>
      <c r="F458" t="inlineStr">
        <is>
          <t>Janssen Inc.</t>
        </is>
      </c>
      <c r="G458" t="inlineStr">
        <is>
          <t>pCODR 10028</t>
        </is>
      </c>
      <c r="H458">
        <v>41590</v>
      </c>
      <c r="I458" s="3">
        <v>41662</v>
      </c>
    </row>
    <row r="459">
      <c r="A459" s="2">
        <f>HYPERLINK("https://www.pcpacanada.ca/negotiation/20773", "Victoza  (liraglutide)")</f>
        <v>0</v>
      </c>
      <c r="B459" t="inlineStr">
        <is>
          <t>Novo Nordisk Canada Inc.</t>
        </is>
      </c>
      <c r="C459" t="inlineStr">
        <is>
          <t>Concluded without agreement</t>
        </is>
      </c>
      <c r="D459" t="inlineStr">
        <is>
          <t>Diabetes Mellitus, Type 2</t>
        </is>
      </c>
      <c r="E459" t="inlineStr">
        <is>
          <t>20773</t>
        </is>
      </c>
      <c r="F459" t="inlineStr">
        <is>
          <t>Novo Nordisk Canada Inc.</t>
        </is>
      </c>
      <c r="G459" t="inlineStr">
        <is>
          <t>Not Applicable</t>
        </is>
      </c>
      <c r="H459" t="inlineStr">
        <is>
          <t>Not Applicable</t>
        </is>
      </c>
      <c r="I459" s="3">
        <v>42538</v>
      </c>
    </row>
    <row r="460">
      <c r="A460" s="2">
        <f>HYPERLINK("https://www.pcpacanada.ca/negotiation/20772", "Erbitux  (cetuximab)")</f>
        <v>0</v>
      </c>
      <c r="B460" t="inlineStr">
        <is>
          <t>Eli Lilly Canada Inc.</t>
        </is>
      </c>
      <c r="C460" t="inlineStr">
        <is>
          <t>Negotiations were not pursued</t>
        </is>
      </c>
      <c r="D460" t="inlineStr">
        <is>
          <t>Metastatic Colorectal Cancer</t>
        </is>
      </c>
      <c r="E460" t="inlineStr">
        <is>
          <t>20772</t>
        </is>
      </c>
      <c r="F460" t="inlineStr">
        <is>
          <t>Eli Lilly Canada Inc.</t>
        </is>
      </c>
      <c r="G460" t="inlineStr">
        <is>
          <t>Not Applicable</t>
        </is>
      </c>
      <c r="H460" t="inlineStr">
        <is>
          <t>Not Applicable</t>
        </is>
      </c>
      <c r="I460" s="3">
        <v>41660</v>
      </c>
    </row>
    <row r="461">
      <c r="A461" s="2">
        <f>HYPERLINK("https://www.pcpacanada.ca/negotiation/20771", "Votrient  (pazopanib hydrochloride)")</f>
        <v>0</v>
      </c>
      <c r="B461" t="inlineStr">
        <is>
          <t>GlaxoSmithKline</t>
        </is>
      </c>
      <c r="C461" t="inlineStr">
        <is>
          <t>Concluded with an LOI</t>
        </is>
      </c>
      <c r="D461" t="inlineStr">
        <is>
          <t>Metastatic Renal Cell Carcinoma</t>
        </is>
      </c>
      <c r="E461" t="inlineStr">
        <is>
          <t>20771</t>
        </is>
      </c>
      <c r="F461" t="inlineStr">
        <is>
          <t>GlaxoSmithKline</t>
        </is>
      </c>
      <c r="G461" t="inlineStr">
        <is>
          <t>Not Applicable</t>
        </is>
      </c>
      <c r="H461" t="inlineStr">
        <is>
          <t>Not Applicable</t>
        </is>
      </c>
      <c r="I461" s="3">
        <v>41610</v>
      </c>
    </row>
    <row r="462">
      <c r="A462" s="2">
        <f>HYPERLINK("https://www.pcpacanada.ca/negotiation/20770", "Technivie  (ombitasvir/paritaprevir/ritonavir)")</f>
        <v>0</v>
      </c>
      <c r="B462" t="inlineStr">
        <is>
          <t>AbbVie Corporation</t>
        </is>
      </c>
      <c r="C462" t="inlineStr">
        <is>
          <t>Concluded without agreement</t>
        </is>
      </c>
      <c r="D462" t="inlineStr">
        <is>
          <t>Chronic Hepatitis C (genotype 4)</t>
        </is>
      </c>
      <c r="E462" t="inlineStr">
        <is>
          <t>20770</t>
        </is>
      </c>
      <c r="F462" t="inlineStr">
        <is>
          <t>AbbVie Corporation</t>
        </is>
      </c>
      <c r="G462" t="inlineStr">
        <is>
          <t>SR0444-000</t>
        </is>
      </c>
      <c r="H462">
        <v>42474</v>
      </c>
      <c r="I462" s="3">
        <v>42783</v>
      </c>
    </row>
    <row r="463">
      <c r="A463" s="2">
        <f>HYPERLINK("https://www.pcpacanada.ca/negotiation/20769", "Soliris  (eculizumab)")</f>
        <v>0</v>
      </c>
      <c r="B463" t="inlineStr">
        <is>
          <t>Alexion Pharma GMBH</t>
        </is>
      </c>
      <c r="C463" t="inlineStr">
        <is>
          <t>Concluded without agreement</t>
        </is>
      </c>
      <c r="D463" t="inlineStr">
        <is>
          <t>Atypical Hemolytic Uremic Syndrome</t>
        </is>
      </c>
      <c r="E463" t="inlineStr">
        <is>
          <t>20769</t>
        </is>
      </c>
      <c r="F463" t="inlineStr">
        <is>
          <t>Alexion Pharma GMBH</t>
        </is>
      </c>
      <c r="G463" t="inlineStr">
        <is>
          <t>SR0304</t>
        </is>
      </c>
      <c r="H463">
        <v>42222</v>
      </c>
      <c r="I463" s="3">
        <v>42416</v>
      </c>
    </row>
    <row r="464">
      <c r="A464" s="2">
        <f>HYPERLINK("https://www.pcpacanada.ca/negotiation/20768", "Inlyta  (axitinib)")</f>
        <v>0</v>
      </c>
      <c r="B464" t="inlineStr">
        <is>
          <t>Pfizer Canada ULC</t>
        </is>
      </c>
      <c r="C464" t="inlineStr">
        <is>
          <t>Concluded with an LOI</t>
        </is>
      </c>
      <c r="D464" t="inlineStr">
        <is>
          <t>Metastatic Renal Cell Carcinoma</t>
        </is>
      </c>
      <c r="E464" t="inlineStr">
        <is>
          <t>20768</t>
        </is>
      </c>
      <c r="F464" t="inlineStr">
        <is>
          <t>Pfizer Canada ULC</t>
        </is>
      </c>
      <c r="G464" t="inlineStr">
        <is>
          <t>pCODR 10013</t>
        </is>
      </c>
      <c r="H464">
        <v>41400</v>
      </c>
      <c r="I464" s="3">
        <v>41600</v>
      </c>
    </row>
    <row r="465">
      <c r="A465" s="2">
        <f>HYPERLINK("https://www.pcpacanada.ca/negotiation/20767", "Perjeta/Herceptin  (pertuzumab/trastuzumab)")</f>
        <v>0</v>
      </c>
      <c r="B465" t="inlineStr">
        <is>
          <t>Hoffmann-La Roche</t>
        </is>
      </c>
      <c r="C465" t="inlineStr">
        <is>
          <t>Concluded with an LOI</t>
        </is>
      </c>
      <c r="D465" t="inlineStr">
        <is>
          <t>Metastatic Breast Cancer</t>
        </is>
      </c>
      <c r="E465" t="inlineStr">
        <is>
          <t>20767</t>
        </is>
      </c>
      <c r="F465" t="inlineStr">
        <is>
          <t>Hoffmann-La Roche</t>
        </is>
      </c>
      <c r="G465" t="inlineStr">
        <is>
          <t>Not Applicable</t>
        </is>
      </c>
      <c r="H465">
        <v>41488</v>
      </c>
      <c r="I465" s="3">
        <v>41565</v>
      </c>
    </row>
    <row r="466">
      <c r="A466" s="2">
        <f>HYPERLINK("https://www.pcpacanada.ca/negotiation/20766", "Afinitor  (everolimus)")</f>
        <v>0</v>
      </c>
      <c r="B466" t="inlineStr">
        <is>
          <t>Novartis Pharmaceuticals Canada Inc.</t>
        </is>
      </c>
      <c r="C466" t="inlineStr">
        <is>
          <t>Concluded with an LOI</t>
        </is>
      </c>
      <c r="D466" t="inlineStr">
        <is>
          <t>Pancreatic Neuroendocrine Tumors</t>
        </is>
      </c>
      <c r="E466" t="inlineStr">
        <is>
          <t>20766</t>
        </is>
      </c>
      <c r="F466" t="inlineStr">
        <is>
          <t>Novartis Pharmaceuticals Canada Inc.</t>
        </is>
      </c>
      <c r="G466" t="inlineStr">
        <is>
          <t>pCODR 10007</t>
        </is>
      </c>
      <c r="H466">
        <v>41512</v>
      </c>
      <c r="I466" s="3">
        <v>41558</v>
      </c>
    </row>
    <row r="467">
      <c r="A467" s="2">
        <f>HYPERLINK("https://www.pcpacanada.ca/negotiation/20765", "Jadenu  (deferasirox)")</f>
        <v>0</v>
      </c>
      <c r="B467" t="inlineStr">
        <is>
          <t>Novartis Pharmaceuticals Canada Inc.</t>
        </is>
      </c>
      <c r="C467" t="inlineStr">
        <is>
          <t>Concluded with an LOI</t>
        </is>
      </c>
      <c r="D467" t="inlineStr">
        <is>
          <t>Chronic Iron Overload</t>
        </is>
      </c>
      <c r="E467" t="inlineStr">
        <is>
          <t>20765</t>
        </is>
      </c>
      <c r="F467" t="inlineStr">
        <is>
          <t>Novartis Pharmaceuticals Canada Inc.</t>
        </is>
      </c>
      <c r="G467" t="inlineStr">
        <is>
          <t>Not Applicable</t>
        </is>
      </c>
      <c r="H467">
        <v>42676</v>
      </c>
      <c r="I467" s="3">
        <v>42829</v>
      </c>
    </row>
    <row r="468">
      <c r="A468" s="2">
        <f>HYPERLINK("https://www.pcpacanada.ca/negotiation/20764", "Rosiver  (ivermectin)")</f>
        <v>0</v>
      </c>
      <c r="B468" t="inlineStr">
        <is>
          <t>Galderma Canada Inc.</t>
        </is>
      </c>
      <c r="C468" t="inlineStr">
        <is>
          <t>Concluded without agreement</t>
        </is>
      </c>
      <c r="D468" t="inlineStr">
        <is>
          <t>Rosacea</t>
        </is>
      </c>
      <c r="E468" t="inlineStr">
        <is>
          <t>20764</t>
        </is>
      </c>
      <c r="F468" t="inlineStr">
        <is>
          <t>Galderma Canada Inc.</t>
        </is>
      </c>
      <c r="G468" t="inlineStr">
        <is>
          <t>SR0429-000</t>
        </is>
      </c>
      <c r="H468">
        <v>42475</v>
      </c>
      <c r="I468" s="3">
        <v>42608</v>
      </c>
    </row>
    <row r="469">
      <c r="A469" s="2">
        <f>HYPERLINK("https://www.pcpacanada.ca/negotiation/20763", "Sovaldi  (sofosbuvir)")</f>
        <v>0</v>
      </c>
      <c r="B469" t="inlineStr">
        <is>
          <t>Gilead Sciences Canada Inc.</t>
        </is>
      </c>
      <c r="C469" t="inlineStr">
        <is>
          <t>Concluded with an LOI</t>
        </is>
      </c>
      <c r="D469" t="inlineStr">
        <is>
          <t>Chronic Hepatitis C</t>
        </is>
      </c>
      <c r="E469" t="inlineStr">
        <is>
          <t>20763</t>
        </is>
      </c>
      <c r="F469" t="inlineStr">
        <is>
          <t>Gilead Sciences Canada Inc.</t>
        </is>
      </c>
      <c r="G469" t="inlineStr">
        <is>
          <t>SF0464-000</t>
        </is>
      </c>
      <c r="H469" t="inlineStr">
        <is>
          <t>Not Applicable</t>
        </is>
      </c>
      <c r="I469" s="3">
        <v>42783</v>
      </c>
    </row>
    <row r="470">
      <c r="A470" s="2">
        <f>HYPERLINK("https://www.pcpacanada.ca/negotiation/20762", "Xtandi  (enzalutamide)")</f>
        <v>0</v>
      </c>
      <c r="B470" t="inlineStr">
        <is>
          <t>Astellas Pharma Inc.</t>
        </is>
      </c>
      <c r="C470" t="inlineStr">
        <is>
          <t>Concluded with an LOI</t>
        </is>
      </c>
      <c r="D470" t="inlineStr">
        <is>
          <t>Metastatic Castration Resistant Prostate Cancer</t>
        </is>
      </c>
      <c r="E470" t="inlineStr">
        <is>
          <t>20762</t>
        </is>
      </c>
      <c r="F470" t="inlineStr">
        <is>
          <t>Astellas Pharma Inc.</t>
        </is>
      </c>
      <c r="G470" t="inlineStr">
        <is>
          <t>pCODR 10023</t>
        </is>
      </c>
      <c r="H470">
        <v>41493</v>
      </c>
      <c r="I470" s="3">
        <v>41540</v>
      </c>
    </row>
    <row r="471">
      <c r="A471" s="2">
        <f>HYPERLINK("https://www.pcpacanada.ca/negotiation/20761", "Metadol-D  (methadone hydrochloride)")</f>
        <v>0</v>
      </c>
      <c r="B471" t="inlineStr">
        <is>
          <t>Paladin Labs Inc.</t>
        </is>
      </c>
      <c r="C471" t="inlineStr">
        <is>
          <t>Concluded with an LOI</t>
        </is>
      </c>
      <c r="D471" t="inlineStr">
        <is>
          <t>Opioid Dependence</t>
        </is>
      </c>
      <c r="E471" t="inlineStr">
        <is>
          <t>20761</t>
        </is>
      </c>
      <c r="F471" t="inlineStr">
        <is>
          <t>Paladin Labs Inc.</t>
        </is>
      </c>
      <c r="G471" t="inlineStr">
        <is>
          <t>Not Applicable</t>
        </is>
      </c>
      <c r="H471">
        <v>42671</v>
      </c>
      <c r="I471" s="3">
        <v>42723</v>
      </c>
    </row>
    <row r="472">
      <c r="A472" s="2">
        <f>HYPERLINK("https://www.pcpacanada.ca/negotiation/20760", "Revolade  (eltrombopag)")</f>
        <v>0</v>
      </c>
      <c r="B472" t="inlineStr">
        <is>
          <t>GlaxoSmithKline</t>
        </is>
      </c>
      <c r="C472" t="inlineStr">
        <is>
          <t>Negotiations were not pursued</t>
        </is>
      </c>
      <c r="D472" t="inlineStr">
        <is>
          <t>Thrombocytopenia associated with chronic hepatitis c infection</t>
        </is>
      </c>
      <c r="E472" t="inlineStr">
        <is>
          <t>20760</t>
        </is>
      </c>
      <c r="F472" t="inlineStr">
        <is>
          <t>GlaxoSmithKline</t>
        </is>
      </c>
      <c r="G472" t="inlineStr">
        <is>
          <t>SR0377</t>
        </is>
      </c>
      <c r="H472" t="inlineStr">
        <is>
          <t>Not Applicable</t>
        </is>
      </c>
      <c r="I472" s="3">
        <v>42152</v>
      </c>
    </row>
    <row r="473">
      <c r="A473" s="2">
        <f>HYPERLINK("https://www.pcpacanada.ca/negotiation/20759", "Picato  (ingenol mebutate)")</f>
        <v>0</v>
      </c>
      <c r="B473" t="inlineStr">
        <is>
          <t>LEO Pharma Inc.</t>
        </is>
      </c>
      <c r="C473" t="inlineStr">
        <is>
          <t>Negotiations were not pursued</t>
        </is>
      </c>
      <c r="D473" t="inlineStr">
        <is>
          <t>Actinic keratosis</t>
        </is>
      </c>
      <c r="E473" t="inlineStr">
        <is>
          <t>20759</t>
        </is>
      </c>
      <c r="F473" t="inlineStr">
        <is>
          <t>LEO Pharma Inc.</t>
        </is>
      </c>
      <c r="G473" t="inlineStr">
        <is>
          <t>Not Applicable</t>
        </is>
      </c>
      <c r="H473" t="inlineStr">
        <is>
          <t>Not Applicable</t>
        </is>
      </c>
      <c r="I473" s="3">
        <v>41975</v>
      </c>
    </row>
    <row r="474">
      <c r="A474" s="2">
        <f>HYPERLINK("https://www.pcpacanada.ca/negotiation/20758", "Inflectra  (infliximab)")</f>
        <v>0</v>
      </c>
      <c r="B474" t="inlineStr">
        <is>
          <t>Hospira Healthcare Corporation</t>
        </is>
      </c>
      <c r="C474" t="inlineStr">
        <is>
          <t>Concluded with an LOI</t>
        </is>
      </c>
      <c r="D474" t="inlineStr">
        <is>
          <t>Ankylosing spondylitis, plaque psoriasis, psoriatic arthritis, rheumatoid arthritis, Crohn’s disease and Ulcerative Colitis</t>
        </is>
      </c>
      <c r="E474" t="inlineStr">
        <is>
          <t>20758</t>
        </is>
      </c>
      <c r="F474" t="inlineStr">
        <is>
          <t>Hospira Healthcare Corporation</t>
        </is>
      </c>
      <c r="G474" t="inlineStr">
        <is>
          <t>Not Applicable</t>
        </is>
      </c>
      <c r="H474" t="inlineStr">
        <is>
          <t>Not Applicable</t>
        </is>
      </c>
      <c r="I474" s="3">
        <v>42674</v>
      </c>
    </row>
    <row r="475">
      <c r="A475" s="2">
        <f>HYPERLINK("https://www.pcpacanada.ca/negotiation/20757", "Replagal  (agalsidase alfa)")</f>
        <v>0</v>
      </c>
      <c r="B475" t="inlineStr">
        <is>
          <t>Shire Pharma Canada ULC</t>
        </is>
      </c>
      <c r="C475" t="inlineStr">
        <is>
          <t>Concluded with an LOI</t>
        </is>
      </c>
      <c r="D475" t="inlineStr">
        <is>
          <t>Fabry's Disease</t>
        </is>
      </c>
      <c r="E475" t="inlineStr">
        <is>
          <t>20757</t>
        </is>
      </c>
      <c r="F475" t="inlineStr">
        <is>
          <t>Shire Pharma Canada ULC</t>
        </is>
      </c>
      <c r="G475" t="inlineStr">
        <is>
          <t>Not Applicable</t>
        </is>
      </c>
      <c r="H475">
        <v>42601</v>
      </c>
      <c r="I475" s="3">
        <v>42644</v>
      </c>
    </row>
    <row r="476">
      <c r="A476" s="2">
        <f>HYPERLINK("https://www.pcpacanada.ca/negotiation/20756", "Fabrazyme  (agalsidase beta)")</f>
        <v>0</v>
      </c>
      <c r="B476" t="inlineStr">
        <is>
          <t>Sanofi Genzyme Canada</t>
        </is>
      </c>
      <c r="C476" t="inlineStr">
        <is>
          <t>Concluded with an LOI</t>
        </is>
      </c>
      <c r="D476" t="inlineStr">
        <is>
          <t>Fabry's Disease</t>
        </is>
      </c>
      <c r="E476" t="inlineStr">
        <is>
          <t>20756</t>
        </is>
      </c>
      <c r="F476" t="inlineStr">
        <is>
          <t>Sanofi Genzyme Canada</t>
        </is>
      </c>
      <c r="G476" t="inlineStr">
        <is>
          <t>Not Applicable</t>
        </is>
      </c>
      <c r="H476">
        <v>42601</v>
      </c>
      <c r="I476" s="3">
        <v>42643</v>
      </c>
    </row>
    <row r="477">
      <c r="A477" s="2">
        <f>HYPERLINK("https://www.pcpacanada.ca/negotiation/20755", "Orkambi  (lumacaftor/ivacaftor)")</f>
        <v>0</v>
      </c>
      <c r="B477" t="inlineStr">
        <is>
          <t>Vertex Pharmaceuticals (Canada) Incorporated</t>
        </is>
      </c>
      <c r="C477" t="inlineStr">
        <is>
          <t>Negotiations were not pursued</t>
        </is>
      </c>
      <c r="D477" t="inlineStr">
        <is>
          <t>Cystic Fibrosis, F508del CFTR mutation</t>
        </is>
      </c>
      <c r="E477" t="inlineStr">
        <is>
          <t>20755</t>
        </is>
      </c>
      <c r="F477" t="inlineStr">
        <is>
          <t>Vertex Pharmaceuticals (Canada) Incorporated</t>
        </is>
      </c>
      <c r="G477" t="inlineStr">
        <is>
          <t>SR0471-000</t>
        </is>
      </c>
      <c r="H477" t="inlineStr">
        <is>
          <t>Not Applicable</t>
        </is>
      </c>
      <c r="I477" s="3">
        <v>42696</v>
      </c>
    </row>
    <row r="478">
      <c r="A478" s="2">
        <f>HYPERLINK("https://www.pcpacanada.ca/negotiation/20754", "Jakavi  (ruxolintib)")</f>
        <v>0</v>
      </c>
      <c r="B478" t="inlineStr">
        <is>
          <t>Novartis Pharmaceuticals Canada Inc.</t>
        </is>
      </c>
      <c r="C478" t="inlineStr">
        <is>
          <t>Concluded with an LOI</t>
        </is>
      </c>
      <c r="D478" t="inlineStr">
        <is>
          <t>Myelofibrosis</t>
        </is>
      </c>
      <c r="E478" t="inlineStr">
        <is>
          <t>20754</t>
        </is>
      </c>
      <c r="F478" t="inlineStr">
        <is>
          <t>Novartis Pharmaceuticals Canada Inc.</t>
        </is>
      </c>
      <c r="G478" t="inlineStr">
        <is>
          <t>pCODR 10012</t>
        </is>
      </c>
      <c r="H478">
        <v>41306</v>
      </c>
      <c r="I478" s="3">
        <v>41520</v>
      </c>
    </row>
    <row r="479">
      <c r="A479" s="2">
        <f>HYPERLINK("https://www.pcpacanada.ca/negotiation/20753", "Tobi Podhaler  (tobramycin)")</f>
        <v>0</v>
      </c>
      <c r="B479" t="inlineStr">
        <is>
          <t>Novartis Pharmaceuticals Canada Inc.</t>
        </is>
      </c>
      <c r="C479" t="inlineStr">
        <is>
          <t>Concluded with an LOI</t>
        </is>
      </c>
      <c r="D479" t="inlineStr">
        <is>
          <t>Pseuodomonas aeruginosa infections in cystic fibrosis</t>
        </is>
      </c>
      <c r="E479" t="inlineStr">
        <is>
          <t>20753</t>
        </is>
      </c>
      <c r="F479" t="inlineStr">
        <is>
          <t>Novartis Pharmaceuticals Canada Inc.</t>
        </is>
      </c>
      <c r="G479" t="inlineStr">
        <is>
          <t>Not Applicable</t>
        </is>
      </c>
      <c r="H479">
        <v>42213</v>
      </c>
      <c r="I479" s="3">
        <v>42479</v>
      </c>
    </row>
    <row r="480">
      <c r="A480" s="2">
        <f>HYPERLINK("https://www.pcpacanada.ca/negotiation/20752", "Campral  (acamprosate calcium)")</f>
        <v>0</v>
      </c>
      <c r="B480" t="inlineStr">
        <is>
          <t>Mylan Pharmaceuticals LLC</t>
        </is>
      </c>
      <c r="C480" t="inlineStr">
        <is>
          <t>Concluded without agreement</t>
        </is>
      </c>
      <c r="D480" t="inlineStr">
        <is>
          <t>Alcohol Abstinence</t>
        </is>
      </c>
      <c r="E480" t="inlineStr">
        <is>
          <t>20752</t>
        </is>
      </c>
      <c r="F480" t="inlineStr">
        <is>
          <t>Mylan Pharmaceuticals LLC</t>
        </is>
      </c>
      <c r="G480" t="inlineStr">
        <is>
          <t>Not Applicable</t>
        </is>
      </c>
      <c r="H480">
        <v>42825</v>
      </c>
      <c r="I480" s="3">
        <v>43007</v>
      </c>
    </row>
    <row r="481">
      <c r="A481" s="2">
        <f>HYPERLINK("https://www.pcpacanada.ca/negotiation/20751", "Sutent  (sunitinib malate)")</f>
        <v>0</v>
      </c>
      <c r="B481" t="inlineStr">
        <is>
          <t>Pfizer Canada ULC</t>
        </is>
      </c>
      <c r="C481" t="inlineStr">
        <is>
          <t>Concluded with an LOI</t>
        </is>
      </c>
      <c r="D481" t="inlineStr">
        <is>
          <t>Pancreatic Neuroendocrine Tumors</t>
        </is>
      </c>
      <c r="E481" t="inlineStr">
        <is>
          <t>20751</t>
        </is>
      </c>
      <c r="F481" t="inlineStr">
        <is>
          <t>Pfizer Canada ULC</t>
        </is>
      </c>
      <c r="G481" t="inlineStr">
        <is>
          <t>pCODR 10004</t>
        </is>
      </c>
      <c r="H481">
        <v>41244</v>
      </c>
      <c r="I481" s="3">
        <v>41500</v>
      </c>
    </row>
    <row r="482">
      <c r="A482" s="2">
        <f>HYPERLINK("https://www.pcpacanada.ca/negotiation/20750", "Zaxine  (rifaximin)")</f>
        <v>0</v>
      </c>
      <c r="B482" t="inlineStr">
        <is>
          <t>Lupin Pharma Canada Limited</t>
        </is>
      </c>
      <c r="C482" t="inlineStr">
        <is>
          <t>Concluded with an LOI</t>
        </is>
      </c>
      <c r="D482" t="inlineStr">
        <is>
          <t>Hepatic Encephalopathy</t>
        </is>
      </c>
      <c r="E482" t="inlineStr">
        <is>
          <t>20750</t>
        </is>
      </c>
      <c r="F482" t="inlineStr">
        <is>
          <t>Lupin Pharma Canada Limited</t>
        </is>
      </c>
      <c r="G482" t="inlineStr">
        <is>
          <t>SR0388</t>
        </is>
      </c>
      <c r="H482" t="inlineStr">
        <is>
          <t>Not Applicable</t>
        </is>
      </c>
      <c r="I482" s="3">
        <v>42431</v>
      </c>
    </row>
    <row r="483">
      <c r="A483" s="2">
        <f>HYPERLINK("https://www.pcpacanada.ca/negotiation/20749", "Juxtapid  (lomitapide)")</f>
        <v>0</v>
      </c>
      <c r="B483" t="inlineStr">
        <is>
          <t>Aegerion Pharmaceuticals Canada Ltd.</t>
        </is>
      </c>
      <c r="C483" t="inlineStr">
        <is>
          <t>Negotiations were not pursued</t>
        </is>
      </c>
      <c r="D483" t="inlineStr">
        <is>
          <t>Homozygous Familial Hypercholesterolemia</t>
        </is>
      </c>
      <c r="E483" t="inlineStr">
        <is>
          <t>20749</t>
        </is>
      </c>
      <c r="F483" t="inlineStr">
        <is>
          <t>Aegerion Pharmaceuticals Canada Ltd.</t>
        </is>
      </c>
      <c r="G483" t="inlineStr">
        <is>
          <t>SR0386-000</t>
        </is>
      </c>
      <c r="H483" t="inlineStr">
        <is>
          <t>Not Applicable</t>
        </is>
      </c>
      <c r="I483" s="3">
        <v>42150</v>
      </c>
    </row>
    <row r="484">
      <c r="A484" s="2">
        <f>HYPERLINK("https://www.pcpacanada.ca/negotiation/20748", "Tykerb &amp; Letrozole  (lapatinib)")</f>
        <v>0</v>
      </c>
      <c r="B484" t="inlineStr">
        <is>
          <t>GlaxoSmithKline</t>
        </is>
      </c>
      <c r="C484" t="inlineStr">
        <is>
          <t>Negotiations were not pursued</t>
        </is>
      </c>
      <c r="D484" t="inlineStr">
        <is>
          <t>Metastatic Breast Cancer</t>
        </is>
      </c>
      <c r="E484" t="inlineStr">
        <is>
          <t>20748</t>
        </is>
      </c>
      <c r="F484" t="inlineStr">
        <is>
          <t>GlaxoSmithKline</t>
        </is>
      </c>
      <c r="G484" t="inlineStr">
        <is>
          <t>Not Applicable</t>
        </is>
      </c>
      <c r="H484" t="inlineStr">
        <is>
          <t>Not Applicable</t>
        </is>
      </c>
      <c r="I484" s="3">
        <v>41495</v>
      </c>
    </row>
    <row r="485">
      <c r="A485" s="2">
        <f>HYPERLINK("https://www.pcpacanada.ca/negotiation/20747", "Xalkori  (crizotinib)")</f>
        <v>0</v>
      </c>
      <c r="B485" t="inlineStr">
        <is>
          <t>Pfizer Canada ULC</t>
        </is>
      </c>
      <c r="C485" t="inlineStr">
        <is>
          <t>Concluded with an LOI</t>
        </is>
      </c>
      <c r="D485" t="inlineStr">
        <is>
          <t>Non-Squamous Non-Small Cell Lung Cancer</t>
        </is>
      </c>
      <c r="E485" t="inlineStr">
        <is>
          <t>20747</t>
        </is>
      </c>
      <c r="F485" t="inlineStr">
        <is>
          <t>Pfizer Canada ULC</t>
        </is>
      </c>
      <c r="G485" t="inlineStr">
        <is>
          <t>Not Applicable</t>
        </is>
      </c>
      <c r="H485">
        <v>41422</v>
      </c>
      <c r="I485" s="3">
        <v>41494</v>
      </c>
    </row>
    <row r="486">
      <c r="A486" s="2">
        <f>HYPERLINK("https://www.pcpacanada.ca/negotiation/20746", "Fibristal  (ulipristal acetate)")</f>
        <v>0</v>
      </c>
      <c r="B486" t="inlineStr">
        <is>
          <t>Allergan Inc.</t>
        </is>
      </c>
      <c r="C486" t="inlineStr">
        <is>
          <t>Concluded with an LOI</t>
        </is>
      </c>
      <c r="D486" t="inlineStr">
        <is>
          <t>Uterine fibroids (signs and symptoms)</t>
        </is>
      </c>
      <c r="E486" t="inlineStr">
        <is>
          <t>20746</t>
        </is>
      </c>
      <c r="F486" t="inlineStr">
        <is>
          <t>Allergan Inc.</t>
        </is>
      </c>
      <c r="G486" t="inlineStr">
        <is>
          <t>SR0326</t>
        </is>
      </c>
      <c r="H486" t="inlineStr">
        <is>
          <t>Not Applicable</t>
        </is>
      </c>
      <c r="I486" s="3">
        <v>42265</v>
      </c>
    </row>
    <row r="487">
      <c r="A487" s="2">
        <f>HYPERLINK("https://www.pcpacanada.ca/negotiation/20745", "Firazyr  (icatibant)")</f>
        <v>0</v>
      </c>
      <c r="B487" t="inlineStr">
        <is>
          <t>Shire Pharma Canada ULC</t>
        </is>
      </c>
      <c r="C487" t="inlineStr">
        <is>
          <t>Concluded with an LOI</t>
        </is>
      </c>
      <c r="D487" t="inlineStr">
        <is>
          <t>Hereditary Angioedema</t>
        </is>
      </c>
      <c r="E487" t="inlineStr">
        <is>
          <t>20745</t>
        </is>
      </c>
      <c r="F487" t="inlineStr">
        <is>
          <t>Shire Pharma Canada ULC</t>
        </is>
      </c>
      <c r="G487" t="inlineStr">
        <is>
          <t>SR0375-000</t>
        </is>
      </c>
      <c r="H487" t="inlineStr">
        <is>
          <t>Not Applicable</t>
        </is>
      </c>
      <c r="I487" s="3">
        <v>42244</v>
      </c>
    </row>
    <row r="488">
      <c r="A488" s="2">
        <f>HYPERLINK("https://www.pcpacanada.ca/negotiation/20744", "Invokana  (canagliflozin)")</f>
        <v>0</v>
      </c>
      <c r="B488" t="inlineStr">
        <is>
          <t>Janssen Inc.</t>
        </is>
      </c>
      <c r="C488" t="inlineStr">
        <is>
          <t>Concluded with an LOI</t>
        </is>
      </c>
      <c r="D488" t="inlineStr">
        <is>
          <t>Diabetes Mellitus, Type 2</t>
        </is>
      </c>
      <c r="E488" t="inlineStr">
        <is>
          <t>20744</t>
        </is>
      </c>
      <c r="F488" t="inlineStr">
        <is>
          <t>Janssen Inc.</t>
        </is>
      </c>
      <c r="G488" t="inlineStr">
        <is>
          <t>SR0370-000</t>
        </is>
      </c>
      <c r="H488" t="inlineStr">
        <is>
          <t>Not Applicable</t>
        </is>
      </c>
      <c r="I488" s="3">
        <v>42187</v>
      </c>
    </row>
    <row r="489">
      <c r="A489" s="2">
        <f>HYPERLINK("https://www.pcpacanada.ca/negotiation/20743", "Diacomit  (stiripentol)")</f>
        <v>0</v>
      </c>
      <c r="B489" t="inlineStr">
        <is>
          <t>Biocodex SA</t>
        </is>
      </c>
      <c r="C489" t="inlineStr">
        <is>
          <t>Concluded with an LOI</t>
        </is>
      </c>
      <c r="D489" t="inlineStr">
        <is>
          <t>Dravet Syndrome</t>
        </is>
      </c>
      <c r="E489" t="inlineStr">
        <is>
          <t>20743</t>
        </is>
      </c>
      <c r="F489" t="inlineStr">
        <is>
          <t>Biocodex SA</t>
        </is>
      </c>
      <c r="G489" t="inlineStr">
        <is>
          <t>SR0360-000</t>
        </is>
      </c>
      <c r="H489" t="inlineStr">
        <is>
          <t>Not Applicable</t>
        </is>
      </c>
      <c r="I489" s="3">
        <v>42135</v>
      </c>
    </row>
    <row r="490">
      <c r="A490" s="2">
        <f>HYPERLINK("https://www.pcpacanada.ca/negotiation/20742", "Triumeq  (dolutegravir/abacavir/lamivudine)")</f>
        <v>0</v>
      </c>
      <c r="B490" t="inlineStr">
        <is>
          <t>ViiV Healthcare</t>
        </is>
      </c>
      <c r="C490" t="inlineStr">
        <is>
          <t>Concluded with an LOI</t>
        </is>
      </c>
      <c r="D490" t="inlineStr">
        <is>
          <t>HIV Infection</t>
        </is>
      </c>
      <c r="E490" t="inlineStr">
        <is>
          <t>20742</t>
        </is>
      </c>
      <c r="F490" t="inlineStr">
        <is>
          <t>ViiV Healthcare</t>
        </is>
      </c>
      <c r="G490" t="inlineStr">
        <is>
          <t>SR0387</t>
        </is>
      </c>
      <c r="H490" t="inlineStr">
        <is>
          <t>Not Applicable</t>
        </is>
      </c>
      <c r="I490" s="3">
        <v>42102</v>
      </c>
    </row>
    <row r="491">
      <c r="A491" s="2">
        <f>HYPERLINK("https://www.pcpacanada.ca/negotiation/20741", "Eylea  (aflibercept)")</f>
        <v>0</v>
      </c>
      <c r="B491" t="inlineStr">
        <is>
          <t>Bayer Inc.</t>
        </is>
      </c>
      <c r="C491" t="inlineStr">
        <is>
          <t>Concluded with an LOI</t>
        </is>
      </c>
      <c r="D491" t="inlineStr">
        <is>
          <t>Age-Related Macular Degeneration</t>
        </is>
      </c>
      <c r="E491" t="inlineStr">
        <is>
          <t>20741</t>
        </is>
      </c>
      <c r="F491" t="inlineStr">
        <is>
          <t>Bayer Inc.</t>
        </is>
      </c>
      <c r="G491" t="inlineStr">
        <is>
          <t>SR0361-000</t>
        </is>
      </c>
      <c r="H491" t="inlineStr">
        <is>
          <t>Not Applicable</t>
        </is>
      </c>
      <c r="I491" s="3">
        <v>42090</v>
      </c>
    </row>
    <row r="492">
      <c r="A492" s="2">
        <f>HYPERLINK("https://www.pcpacanada.ca/negotiation/20740", "Ibavyr  (ribavirin)")</f>
        <v>0</v>
      </c>
      <c r="B492" t="inlineStr">
        <is>
          <t>Pendopharm</t>
        </is>
      </c>
      <c r="C492" t="inlineStr">
        <is>
          <t>Concluded with an LOI</t>
        </is>
      </c>
      <c r="D492" t="inlineStr">
        <is>
          <t>Chronic Hepatitis C</t>
        </is>
      </c>
      <c r="E492" t="inlineStr">
        <is>
          <t>20740</t>
        </is>
      </c>
      <c r="F492" t="inlineStr">
        <is>
          <t>Pendopharm</t>
        </is>
      </c>
      <c r="G492" t="inlineStr">
        <is>
          <t>Not Applicable</t>
        </is>
      </c>
      <c r="H492">
        <v>41928</v>
      </c>
      <c r="I492" s="3">
        <v>42066</v>
      </c>
    </row>
    <row r="493">
      <c r="A493" s="2">
        <f>HYPERLINK("https://www.pcpacanada.ca/negotiation/20739", "Halaven  (eribulin)")</f>
        <v>0</v>
      </c>
      <c r="B493" t="inlineStr">
        <is>
          <t>Eisai Limited</t>
        </is>
      </c>
      <c r="C493" t="inlineStr">
        <is>
          <t>Concluded with an LOI</t>
        </is>
      </c>
      <c r="D493" t="inlineStr">
        <is>
          <t>Metastatic Breast Cancer</t>
        </is>
      </c>
      <c r="E493" t="inlineStr">
        <is>
          <t>20739</t>
        </is>
      </c>
      <c r="F493" t="inlineStr">
        <is>
          <t>Eisai Limited</t>
        </is>
      </c>
      <c r="G493" t="inlineStr">
        <is>
          <t>pCODR 10005</t>
        </is>
      </c>
      <c r="H493">
        <v>41214</v>
      </c>
      <c r="I493" s="3">
        <v>41457</v>
      </c>
    </row>
    <row r="494">
      <c r="A494" s="2">
        <f>HYPERLINK("https://www.pcpacanada.ca/negotiation/20738", "Remicade  (infliximab)")</f>
        <v>0</v>
      </c>
      <c r="B494" t="inlineStr">
        <is>
          <t>Janssen Inc.</t>
        </is>
      </c>
      <c r="C494" t="inlineStr">
        <is>
          <t>Concluded with an LOI</t>
        </is>
      </c>
      <c r="D494" t="inlineStr">
        <is>
          <t>rheumatoid arthritis, ulcerative colitis and Crohn’s disease</t>
        </is>
      </c>
      <c r="E494" t="inlineStr">
        <is>
          <t>20738</t>
        </is>
      </c>
      <c r="F494" t="inlineStr">
        <is>
          <t>Janssen Inc.</t>
        </is>
      </c>
      <c r="G494" t="inlineStr">
        <is>
          <t>Not Applicable</t>
        </is>
      </c>
      <c r="H494">
        <v>41942</v>
      </c>
      <c r="I494" s="3">
        <v>42058</v>
      </c>
    </row>
    <row r="495">
      <c r="A495" s="2">
        <f>HYPERLINK("https://www.pcpacanada.ca/negotiation/20737", "Harvoni  (ledipasvir/sofosbuvir)")</f>
        <v>0</v>
      </c>
      <c r="B495" t="inlineStr">
        <is>
          <t>Gilead Sciences Canada Inc.</t>
        </is>
      </c>
      <c r="C495" t="inlineStr">
        <is>
          <t>Concluded with an LOI</t>
        </is>
      </c>
      <c r="D495" t="inlineStr">
        <is>
          <t>Chronic Hepatitis C</t>
        </is>
      </c>
      <c r="E495" t="inlineStr">
        <is>
          <t>20737</t>
        </is>
      </c>
      <c r="F495" t="inlineStr">
        <is>
          <t>Gilead Sciences Canada Inc.</t>
        </is>
      </c>
      <c r="G495" t="inlineStr">
        <is>
          <t>SR0395</t>
        </is>
      </c>
      <c r="H495" t="inlineStr">
        <is>
          <t>Not Applicable</t>
        </is>
      </c>
      <c r="I495" s="3">
        <v>42040</v>
      </c>
    </row>
    <row r="496">
      <c r="A496" s="2">
        <f>HYPERLINK("https://www.pcpacanada.ca/negotiation/20736", "Advair  (salmeterol xinafoate/fluticasone propionate)")</f>
        <v>0</v>
      </c>
      <c r="B496" t="inlineStr">
        <is>
          <t>GlaxoSmithKline</t>
        </is>
      </c>
      <c r="C496" t="inlineStr">
        <is>
          <t>Concluded with an LOI</t>
        </is>
      </c>
      <c r="D496" t="inlineStr">
        <is>
          <t>Chronic Obstructive Pulmonary Disease and asthma</t>
        </is>
      </c>
      <c r="E496" t="inlineStr">
        <is>
          <t>20736</t>
        </is>
      </c>
      <c r="F496" t="inlineStr">
        <is>
          <t>GlaxoSmithKline</t>
        </is>
      </c>
      <c r="G496" t="inlineStr">
        <is>
          <t>Not Applicable</t>
        </is>
      </c>
      <c r="H496">
        <v>41918</v>
      </c>
      <c r="I496" s="3">
        <v>42038</v>
      </c>
    </row>
    <row r="497">
      <c r="A497" s="2">
        <f>HYPERLINK("https://www.pcpacanada.ca/negotiation/20735", "Valtrex  (valacyclovir)")</f>
        <v>0</v>
      </c>
      <c r="B497" t="inlineStr">
        <is>
          <t>GlaxoSmithKline</t>
        </is>
      </c>
      <c r="C497" t="inlineStr">
        <is>
          <t>Concluded with an LOI</t>
        </is>
      </c>
      <c r="D497" t="inlineStr">
        <is>
          <t>Specific Viral Infections</t>
        </is>
      </c>
      <c r="E497" t="inlineStr">
        <is>
          <t>20735</t>
        </is>
      </c>
      <c r="F497" t="inlineStr">
        <is>
          <t>GlaxoSmithKline</t>
        </is>
      </c>
      <c r="G497" t="inlineStr">
        <is>
          <t>Not Applicable</t>
        </is>
      </c>
      <c r="H497">
        <v>41859</v>
      </c>
      <c r="I497" s="3">
        <v>42031</v>
      </c>
    </row>
    <row r="498">
      <c r="A498" s="2">
        <f>HYPERLINK("https://www.pcpacanada.ca/negotiation/20734", "Adempas  (riociguat)")</f>
        <v>0</v>
      </c>
      <c r="B498" t="inlineStr">
        <is>
          <t>Bayer Inc.</t>
        </is>
      </c>
      <c r="C498" t="inlineStr">
        <is>
          <t>Concluded with an LOI</t>
        </is>
      </c>
      <c r="D498" t="inlineStr">
        <is>
          <t>Pulmonary hypertension, chronic thromboembolic</t>
        </is>
      </c>
      <c r="E498" t="inlineStr">
        <is>
          <t>20734</t>
        </is>
      </c>
      <c r="F498" t="inlineStr">
        <is>
          <t>Bayer Inc.</t>
        </is>
      </c>
      <c r="G498" t="inlineStr">
        <is>
          <t>SR0353</t>
        </is>
      </c>
      <c r="H498" t="inlineStr">
        <is>
          <t>Not Applicable</t>
        </is>
      </c>
      <c r="I498" s="3">
        <v>42027</v>
      </c>
    </row>
    <row r="499">
      <c r="A499" s="2">
        <f>HYPERLINK("https://www.pcpacanada.ca/negotiation/20733", "Onglyza  (saxagliptin)")</f>
        <v>0</v>
      </c>
      <c r="B499" t="inlineStr">
        <is>
          <t>AstraZeneca Canada Inc.</t>
        </is>
      </c>
      <c r="C499" t="inlineStr">
        <is>
          <t>Concluded with an LOI</t>
        </is>
      </c>
      <c r="D499" t="inlineStr">
        <is>
          <t>Diabetes Mellitus, Type 2</t>
        </is>
      </c>
      <c r="E499" t="inlineStr">
        <is>
          <t>20733</t>
        </is>
      </c>
      <c r="F499" t="inlineStr">
        <is>
          <t>AstraZeneca Canada Inc.</t>
        </is>
      </c>
      <c r="G499" t="inlineStr">
        <is>
          <t>SR0329</t>
        </is>
      </c>
      <c r="H499" t="inlineStr">
        <is>
          <t>Not Applicable</t>
        </is>
      </c>
      <c r="I499" s="3">
        <v>42013</v>
      </c>
    </row>
    <row r="500">
      <c r="A500" s="2">
        <f>HYPERLINK("https://www.pcpacanada.ca/negotiation/20732", "Soliris  (eculizumab)")</f>
        <v>0</v>
      </c>
      <c r="B500" t="inlineStr">
        <is>
          <t>Alexion Pharma GMBH</t>
        </is>
      </c>
      <c r="C500" t="inlineStr">
        <is>
          <t>Concluded with an LOI</t>
        </is>
      </c>
      <c r="D500" t="inlineStr">
        <is>
          <t>Paroxysmal nocturnal hemoglobinuria (PNH)</t>
        </is>
      </c>
      <c r="E500" t="inlineStr">
        <is>
          <t>20732</t>
        </is>
      </c>
      <c r="F500" t="inlineStr">
        <is>
          <t>Alexion Pharma GMBH</t>
        </is>
      </c>
      <c r="G500" t="inlineStr">
        <is>
          <t>S0176</t>
        </is>
      </c>
      <c r="H500" t="inlineStr">
        <is>
          <t>Not Applicable</t>
        </is>
      </c>
      <c r="I500" s="3">
        <v>41917</v>
      </c>
    </row>
    <row r="501">
      <c r="A501" s="2">
        <f>HYPERLINK("https://www.pcpacanada.ca/negotiation/20731", "Aubagio  (teriflunomide)")</f>
        <v>0</v>
      </c>
      <c r="B501" t="inlineStr">
        <is>
          <t>Sanofi Genzyme Canada</t>
        </is>
      </c>
      <c r="C501" t="inlineStr">
        <is>
          <t>Concluded with an LOI</t>
        </is>
      </c>
      <c r="D501" t="inlineStr">
        <is>
          <t>Multiple Sclerosis, relapsing</t>
        </is>
      </c>
      <c r="E501" t="inlineStr">
        <is>
          <t>20731</t>
        </is>
      </c>
      <c r="F501" t="inlineStr">
        <is>
          <t>Sanofi Genzyme Canada</t>
        </is>
      </c>
      <c r="G501" t="inlineStr">
        <is>
          <t>SR0350</t>
        </is>
      </c>
      <c r="H501" t="inlineStr">
        <is>
          <t>Not Applicable</t>
        </is>
      </c>
      <c r="I501" s="3">
        <v>41908</v>
      </c>
    </row>
    <row r="502">
      <c r="A502" s="2">
        <f>HYPERLINK("https://www.pcpacanada.ca/negotiation/20730", "Orencia  (abatacept)")</f>
        <v>0</v>
      </c>
      <c r="B502" t="inlineStr">
        <is>
          <t>Bristol Myers Squibb Canada Inc.</t>
        </is>
      </c>
      <c r="C502" t="inlineStr">
        <is>
          <t>Concluded with an LOI</t>
        </is>
      </c>
      <c r="D502" t="inlineStr">
        <is>
          <t>Subacute and chronic inflammatory joint diseases</t>
        </is>
      </c>
      <c r="E502" t="inlineStr">
        <is>
          <t>20730</t>
        </is>
      </c>
      <c r="F502" t="inlineStr">
        <is>
          <t>Bristol Myers Squibb Canada Inc.</t>
        </is>
      </c>
      <c r="G502" t="inlineStr">
        <is>
          <t>SR0299</t>
        </is>
      </c>
      <c r="H502" t="inlineStr">
        <is>
          <t>Not Applicable</t>
        </is>
      </c>
      <c r="I502" s="3">
        <v>41892</v>
      </c>
    </row>
    <row r="503">
      <c r="A503" s="2">
        <f>HYPERLINK("https://www.pcpacanada.ca/negotiation/20729", "Galexos  (simeprevir)")</f>
        <v>0</v>
      </c>
      <c r="B503" t="inlineStr">
        <is>
          <t>Janssen Inc.</t>
        </is>
      </c>
      <c r="C503" t="inlineStr">
        <is>
          <t>Concluded with an LOI</t>
        </is>
      </c>
      <c r="D503" t="inlineStr">
        <is>
          <t>Chronic Hepatitis C</t>
        </is>
      </c>
      <c r="E503" t="inlineStr">
        <is>
          <t>20729</t>
        </is>
      </c>
      <c r="F503" t="inlineStr">
        <is>
          <t>Janssen Inc.</t>
        </is>
      </c>
      <c r="G503" t="inlineStr">
        <is>
          <t>SR0347</t>
        </is>
      </c>
      <c r="H503" t="inlineStr">
        <is>
          <t>Not Applicable</t>
        </is>
      </c>
      <c r="I503" s="3">
        <v>41871</v>
      </c>
    </row>
    <row r="504">
      <c r="A504" s="2">
        <f>HYPERLINK("https://www.pcpacanada.ca/negotiation/20728", "Esbriet  (pirfenidone)")</f>
        <v>0</v>
      </c>
      <c r="B504" t="inlineStr">
        <is>
          <t>Hoffmann-La Roche</t>
        </is>
      </c>
      <c r="C504" t="inlineStr">
        <is>
          <t>Concluded with an LOI</t>
        </is>
      </c>
      <c r="D504" t="inlineStr">
        <is>
          <t>Pulmonary fibrosis (idiopathic, mild to moderate)</t>
        </is>
      </c>
      <c r="E504" t="inlineStr">
        <is>
          <t>20728</t>
        </is>
      </c>
      <c r="F504" t="inlineStr">
        <is>
          <t>Hoffmann-La Roche</t>
        </is>
      </c>
      <c r="G504" t="inlineStr">
        <is>
          <t>SR0292</t>
        </is>
      </c>
      <c r="H504" t="inlineStr">
        <is>
          <t>Not Applicable</t>
        </is>
      </c>
      <c r="I504" s="3">
        <v>41866</v>
      </c>
    </row>
    <row r="505">
      <c r="A505" s="2">
        <f>HYPERLINK("https://www.pcpacanada.ca/negotiation/20727", "Tudorza Genuair  (aclidinium bromide)")</f>
        <v>0</v>
      </c>
      <c r="B505" t="inlineStr">
        <is>
          <t>AstraZeneca Canada Inc.</t>
        </is>
      </c>
      <c r="C505" t="inlineStr">
        <is>
          <t>Concluded with an LOI</t>
        </is>
      </c>
      <c r="D505" t="inlineStr">
        <is>
          <t>Chronic Obstructive Pulmonary Disease</t>
        </is>
      </c>
      <c r="E505" t="inlineStr">
        <is>
          <t>20727</t>
        </is>
      </c>
      <c r="F505" t="inlineStr">
        <is>
          <t>AstraZeneca Canada Inc.</t>
        </is>
      </c>
      <c r="G505" t="inlineStr">
        <is>
          <t>SR0346</t>
        </is>
      </c>
      <c r="H505" t="inlineStr">
        <is>
          <t>Not Applicable</t>
        </is>
      </c>
      <c r="I505" s="3">
        <v>41836</v>
      </c>
    </row>
    <row r="506">
      <c r="A506" s="2">
        <f>HYPERLINK("https://www.pcpacanada.ca/negotiation/20726", "Kalydeco  (ivacaftor)")</f>
        <v>0</v>
      </c>
      <c r="B506" t="inlineStr">
        <is>
          <t>Vertex Pharmaceuticals (Canada) Incorporated</t>
        </is>
      </c>
      <c r="C506" t="inlineStr">
        <is>
          <t>Concluded with an LOI</t>
        </is>
      </c>
      <c r="D506" t="inlineStr">
        <is>
          <t>Cystic Fibrosis patients (G551D mutation)</t>
        </is>
      </c>
      <c r="E506" t="inlineStr">
        <is>
          <t>20726</t>
        </is>
      </c>
      <c r="F506" t="inlineStr">
        <is>
          <t>Vertex Pharmaceuticals (Canada) Incorporated</t>
        </is>
      </c>
      <c r="G506" t="inlineStr">
        <is>
          <t>SR0291</t>
        </is>
      </c>
      <c r="H506" t="inlineStr">
        <is>
          <t>Not Applicable</t>
        </is>
      </c>
      <c r="I506" s="3">
        <v>41806</v>
      </c>
    </row>
    <row r="507">
      <c r="A507" s="2">
        <f>HYPERLINK("https://www.pcpacanada.ca/negotiation/20725", "Lodalis  (colesevelam hydrochloride)")</f>
        <v>0</v>
      </c>
      <c r="B507" t="inlineStr">
        <is>
          <t>Valeant Canada</t>
        </is>
      </c>
      <c r="C507" t="inlineStr">
        <is>
          <t>Concluded with an LOI</t>
        </is>
      </c>
      <c r="D507" t="inlineStr">
        <is>
          <t>Hypercholesterolemia</t>
        </is>
      </c>
      <c r="E507" t="inlineStr">
        <is>
          <t>20725</t>
        </is>
      </c>
      <c r="F507" t="inlineStr">
        <is>
          <t>Valeant Canada</t>
        </is>
      </c>
      <c r="G507" t="inlineStr">
        <is>
          <t>SR0274</t>
        </is>
      </c>
      <c r="H507" t="inlineStr">
        <is>
          <t>Not Applicable</t>
        </is>
      </c>
      <c r="I507" s="3">
        <v>41745</v>
      </c>
    </row>
    <row r="508">
      <c r="A508" s="2">
        <f>HYPERLINK("https://www.pcpacanada.ca/negotiation/20724", "Tecfidera  (dimethyl fumarate)")</f>
        <v>0</v>
      </c>
      <c r="B508" t="inlineStr">
        <is>
          <t>Biogen Canada Inc.</t>
        </is>
      </c>
      <c r="C508" t="inlineStr">
        <is>
          <t>Concluded with an LOI</t>
        </is>
      </c>
      <c r="D508" t="inlineStr">
        <is>
          <t>Multiple Sclerosis, relapsing</t>
        </is>
      </c>
      <c r="E508" t="inlineStr">
        <is>
          <t>20724</t>
        </is>
      </c>
      <c r="F508" t="inlineStr">
        <is>
          <t>Biogen Canada Inc.</t>
        </is>
      </c>
      <c r="G508" t="inlineStr">
        <is>
          <t>SR0309</t>
        </is>
      </c>
      <c r="H508" t="inlineStr">
        <is>
          <t>Not Applicable</t>
        </is>
      </c>
      <c r="I508" s="3">
        <v>41739</v>
      </c>
    </row>
    <row r="509">
      <c r="A509" s="2">
        <f>HYPERLINK("https://www.pcpacanada.ca/negotiation/20723", "Treanda  (bendamustine hydrochloride)")</f>
        <v>0</v>
      </c>
      <c r="B509" t="inlineStr">
        <is>
          <t>Lundbeck Canada Inc.</t>
        </is>
      </c>
      <c r="C509" t="inlineStr">
        <is>
          <t>Concluded with an LOI</t>
        </is>
      </c>
      <c r="D509" t="inlineStr">
        <is>
          <t>Non-Hodgkin's Lymphoma</t>
        </is>
      </c>
      <c r="E509" t="inlineStr">
        <is>
          <t>20723</t>
        </is>
      </c>
      <c r="F509" t="inlineStr">
        <is>
          <t>Lundbeck Canada Inc.</t>
        </is>
      </c>
      <c r="G509" t="inlineStr">
        <is>
          <t>pCODR 10010</t>
        </is>
      </c>
      <c r="H509">
        <v>41324</v>
      </c>
      <c r="I509" s="3">
        <v>41389</v>
      </c>
    </row>
    <row r="510">
      <c r="A510" s="2">
        <f>HYPERLINK("https://www.pcpacanada.ca/negotiation/20722", "Oralair  (grass pollen allergen extract)")</f>
        <v>0</v>
      </c>
      <c r="B510" t="inlineStr">
        <is>
          <t>Paladin Labs Inc.</t>
        </is>
      </c>
      <c r="C510" t="inlineStr">
        <is>
          <t>Concluded with an LOI</t>
        </is>
      </c>
      <c r="D510" t="inlineStr">
        <is>
          <t>Allergic Rhinitis</t>
        </is>
      </c>
      <c r="E510" t="inlineStr">
        <is>
          <t>20722</t>
        </is>
      </c>
      <c r="F510" t="inlineStr">
        <is>
          <t>Paladin Labs Inc.</t>
        </is>
      </c>
      <c r="G510" t="inlineStr">
        <is>
          <t>SR0290</t>
        </is>
      </c>
      <c r="H510" t="inlineStr">
        <is>
          <t>Not Applicable</t>
        </is>
      </c>
      <c r="I510" s="3">
        <v>41687</v>
      </c>
    </row>
    <row r="511">
      <c r="A511" s="2">
        <f>HYPERLINK("https://www.pcpacanada.ca/negotiation/20721", "Benlysta  (belimumab)")</f>
        <v>0</v>
      </c>
      <c r="B511" t="inlineStr">
        <is>
          <t>GlaxoSmithKline</t>
        </is>
      </c>
      <c r="C511" t="inlineStr">
        <is>
          <t>Negotiations were not pursued</t>
        </is>
      </c>
      <c r="D511" t="inlineStr">
        <is>
          <t>Systemic lupus erythematosus</t>
        </is>
      </c>
      <c r="E511" t="inlineStr">
        <is>
          <t>20721</t>
        </is>
      </c>
      <c r="F511" t="inlineStr">
        <is>
          <t>GlaxoSmithKline</t>
        </is>
      </c>
      <c r="G511" t="inlineStr">
        <is>
          <t>S0251</t>
        </is>
      </c>
      <c r="H511" t="inlineStr">
        <is>
          <t>Not Applicable</t>
        </is>
      </c>
      <c r="I511" s="3">
        <v>41670</v>
      </c>
    </row>
    <row r="512">
      <c r="A512" s="2">
        <f>HYPERLINK("https://www.pcpacanada.ca/negotiation/20720", "Mozobil  (plerixafor)")</f>
        <v>0</v>
      </c>
      <c r="B512" t="inlineStr">
        <is>
          <t>Sanofi-aventis Canada Inc.</t>
        </is>
      </c>
      <c r="C512" t="inlineStr">
        <is>
          <t>Concluded with an LOI</t>
        </is>
      </c>
      <c r="D512" t="inlineStr">
        <is>
          <t>Non-Hodgkin's Lymphoma and Multiple Myeloma</t>
        </is>
      </c>
      <c r="E512" t="inlineStr">
        <is>
          <t>20720</t>
        </is>
      </c>
      <c r="F512" t="inlineStr">
        <is>
          <t>Sanofi-aventis Canada Inc.</t>
        </is>
      </c>
      <c r="G512" t="inlineStr">
        <is>
          <t>SR0265</t>
        </is>
      </c>
      <c r="H512" t="inlineStr">
        <is>
          <t>Not Applicable</t>
        </is>
      </c>
      <c r="I512" s="3">
        <v>41645</v>
      </c>
    </row>
    <row r="513">
      <c r="A513" s="2">
        <f>HYPERLINK("https://www.pcpacanada.ca/negotiation/20719", "Yervoy  (ipilimumab)")</f>
        <v>0</v>
      </c>
      <c r="B513" t="inlineStr">
        <is>
          <t>Bristol Myers Squibb Canada Inc.</t>
        </is>
      </c>
      <c r="C513" t="inlineStr">
        <is>
          <t>Concluded with an LOI</t>
        </is>
      </c>
      <c r="D513" t="inlineStr">
        <is>
          <t>Advanced Melanoma</t>
        </is>
      </c>
      <c r="E513" t="inlineStr">
        <is>
          <t>20719</t>
        </is>
      </c>
      <c r="F513" t="inlineStr">
        <is>
          <t>Bristol Myers Squibb Canada Inc.</t>
        </is>
      </c>
      <c r="G513" t="inlineStr">
        <is>
          <t>pCODR 10003</t>
        </is>
      </c>
      <c r="H513">
        <v>41061</v>
      </c>
      <c r="I513" s="3">
        <v>41149</v>
      </c>
    </row>
    <row r="514">
      <c r="A514" s="2">
        <f>HYPERLINK("https://www.pcpacanada.ca/negotiation/20718", "Dificid  (fidaxomicin)")</f>
        <v>0</v>
      </c>
      <c r="B514" t="inlineStr">
        <is>
          <t>Optimer Pharmaceuticals</t>
        </is>
      </c>
      <c r="C514" t="inlineStr">
        <is>
          <t>Concluded with an LOI</t>
        </is>
      </c>
      <c r="D514" t="inlineStr">
        <is>
          <t>Clostridium difficile infection</t>
        </is>
      </c>
      <c r="E514" t="inlineStr">
        <is>
          <t>20718</t>
        </is>
      </c>
      <c r="F514" t="inlineStr">
        <is>
          <t>Optimer Pharmaceuticals</t>
        </is>
      </c>
      <c r="G514" t="inlineStr">
        <is>
          <t>SR0285</t>
        </is>
      </c>
      <c r="H514" t="inlineStr">
        <is>
          <t>Not Applicable</t>
        </is>
      </c>
      <c r="I514" s="3">
        <v>41591</v>
      </c>
    </row>
    <row r="515">
      <c r="A515" s="2">
        <f>HYPERLINK("https://www.pcpacanada.ca/negotiation/20717", "Eliquis  (apixaban)")</f>
        <v>0</v>
      </c>
      <c r="B515" t="inlineStr">
        <is>
          <t>Bristol Myers Squibb Canada Inc.</t>
        </is>
      </c>
      <c r="C515" t="inlineStr">
        <is>
          <t>Concluded with an LOI</t>
        </is>
      </c>
      <c r="D515" t="inlineStr">
        <is>
          <t>Thromboembolic events prevention, (atrial fibrillation)</t>
        </is>
      </c>
      <c r="E515" t="inlineStr">
        <is>
          <t>20717</t>
        </is>
      </c>
      <c r="F515" t="inlineStr">
        <is>
          <t>Bristol Myers Squibb Canada Inc.</t>
        </is>
      </c>
      <c r="G515" t="inlineStr">
        <is>
          <t>SR0288</t>
        </is>
      </c>
      <c r="H515" t="inlineStr">
        <is>
          <t>Not Applicable</t>
        </is>
      </c>
      <c r="I515" s="3">
        <v>41557</v>
      </c>
    </row>
    <row r="516">
      <c r="A516" s="2">
        <f>HYPERLINK("https://www.pcpacanada.ca/negotiation/20716", "Replagal  (agalsidase alfa)")</f>
        <v>0</v>
      </c>
      <c r="B516" t="inlineStr">
        <is>
          <t>Shire Pharma Canada ULC</t>
        </is>
      </c>
      <c r="C516" t="inlineStr">
        <is>
          <t>Concluded with an LOI</t>
        </is>
      </c>
      <c r="D516" t="inlineStr">
        <is>
          <t>Fabry's Disease</t>
        </is>
      </c>
      <c r="E516" t="inlineStr">
        <is>
          <t>20716</t>
        </is>
      </c>
      <c r="F516" t="inlineStr">
        <is>
          <t>Shire Pharma Canada ULC</t>
        </is>
      </c>
      <c r="G516" t="inlineStr">
        <is>
          <t>Not Applicable</t>
        </is>
      </c>
      <c r="H516" t="inlineStr">
        <is>
          <t>Not Applicable</t>
        </is>
      </c>
      <c r="I516" s="3">
        <v>41541</v>
      </c>
    </row>
    <row r="517">
      <c r="A517" s="2">
        <f>HYPERLINK("https://www.pcpacanada.ca/negotiation/20715", "Fabrazyme  (agalsidase beta)")</f>
        <v>0</v>
      </c>
      <c r="B517" t="inlineStr">
        <is>
          <t>Sanofi Genzyme Canada</t>
        </is>
      </c>
      <c r="C517" t="inlineStr">
        <is>
          <t>Concluded with an LOI</t>
        </is>
      </c>
      <c r="D517" t="inlineStr">
        <is>
          <t>Fabry's Disease</t>
        </is>
      </c>
      <c r="E517" t="inlineStr">
        <is>
          <t>20715</t>
        </is>
      </c>
      <c r="F517" t="inlineStr">
        <is>
          <t>Sanofi Genzyme Canada</t>
        </is>
      </c>
      <c r="G517" t="inlineStr">
        <is>
          <t>S0028</t>
        </is>
      </c>
      <c r="H517" t="inlineStr">
        <is>
          <t>Not Applicable</t>
        </is>
      </c>
      <c r="I517" s="3">
        <v>41537</v>
      </c>
    </row>
    <row r="518">
      <c r="A518" s="2">
        <f>HYPERLINK("https://www.pcpacanada.ca/negotiation/20714", "Brilinta  (ticagrelor)")</f>
        <v>0</v>
      </c>
      <c r="B518" t="inlineStr">
        <is>
          <t>AstraZeneca Canada Inc.</t>
        </is>
      </c>
      <c r="C518" t="inlineStr">
        <is>
          <t>Concluded with an LOI</t>
        </is>
      </c>
      <c r="D518" t="inlineStr">
        <is>
          <t>Thrombotic events in Acute Coronary Syndromes, Prevention</t>
        </is>
      </c>
      <c r="E518" t="inlineStr">
        <is>
          <t>20714</t>
        </is>
      </c>
      <c r="F518" t="inlineStr">
        <is>
          <t>AstraZeneca Canada Inc.</t>
        </is>
      </c>
      <c r="G518" t="inlineStr">
        <is>
          <t>S0234</t>
        </is>
      </c>
      <c r="H518" t="inlineStr">
        <is>
          <t>Not Applicable</t>
        </is>
      </c>
      <c r="I518" s="3">
        <v>41164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855"/>
  <sheetViews>
    <sheetView workbookViewId="0"/>
  </sheetViews>
  <sheetFormatPr defaultRowHeight="15"/>
  <cols>
    <col min="1" max="1" width="9.140625" style="2"/>
    <col min="6" max="6" width="9.140625" style="3"/>
    <col min="7" max="7" width="9.140625" style="3"/>
    <col min="13" max="13" width="9.140625" style="3"/>
    <col min="16" max="16" width="9.140625" style="3"/>
    <col min="20" max="20" width="9.140625" style="3"/>
    <col min="21" max="21" width="9.140625" style="3"/>
    <col min="23" max="23" width="9.140625" style="3"/>
    <col min="24" max="24" width="9.140625" style="3"/>
    <col min="25" max="25" width="9.140625" style="3"/>
  </cols>
  <sheetData>
    <row r="1">
      <c r="A1" s="1" t="inlineStr">
        <is>
          <t>Brand Name</t>
        </is>
      </c>
      <c r="B1" s="1" t="inlineStr">
        <is>
          <t>Generic Name</t>
        </is>
      </c>
      <c r="C1" s="1" t="inlineStr">
        <is>
          <t>Indication</t>
        </is>
      </c>
      <c r="D1" s="1" t="inlineStr">
        <is>
          <t>Recommendation Type</t>
        </is>
      </c>
      <c r="E1" s="1" t="inlineStr">
        <is>
          <t>Project Status</t>
        </is>
      </c>
      <c r="F1" s="1" t="inlineStr">
        <is>
          <t>Date Submission Received</t>
        </is>
      </c>
      <c r="G1" s="1" t="inlineStr">
        <is>
          <t>Date Recommendation Issued</t>
        </is>
      </c>
      <c r="H1" s="1" t="inlineStr">
        <is>
          <t>Proyect name</t>
        </is>
      </c>
      <c r="I1" s="1" t="inlineStr">
        <is>
          <t>Strength</t>
        </is>
      </c>
      <c r="J1" s="1" t="inlineStr">
        <is>
          <t>Tumour Type</t>
        </is>
      </c>
      <c r="K1" s="1" t="inlineStr">
        <is>
          <t>Funding Request</t>
        </is>
      </c>
      <c r="L1" s="1" t="inlineStr">
        <is>
          <t>Pre Noc Submission</t>
        </is>
      </c>
      <c r="M1" s="1" t="inlineStr">
        <is>
          <t>NOC Date</t>
        </is>
      </c>
      <c r="N1" s="1" t="inlineStr">
        <is>
          <t>Manufacturer</t>
        </is>
      </c>
      <c r="O1" s="1" t="inlineStr">
        <is>
          <t>Sponsor</t>
        </is>
      </c>
      <c r="P1" s="1" t="inlineStr">
        <is>
          <t>Submission Deemed Complete</t>
        </is>
      </c>
      <c r="Q1" s="1" t="inlineStr">
        <is>
          <t>Submission Type</t>
        </is>
      </c>
      <c r="R1" s="1" t="inlineStr">
        <is>
          <t>Prioritization Requested</t>
        </is>
      </c>
      <c r="S1" s="1" t="inlineStr">
        <is>
          <t>Stakeholder Input Deadline</t>
        </is>
      </c>
      <c r="T1" s="1" t="inlineStr">
        <is>
          <t>Check-point meeting</t>
        </is>
      </c>
      <c r="U1" s="1" t="inlineStr">
        <is>
          <t>pERC Meeting</t>
        </is>
      </c>
      <c r="V1" s="1" t="inlineStr">
        <is>
          <t>Initial Recommendation Issued</t>
        </is>
      </c>
      <c r="W1" s="1" t="inlineStr">
        <is>
          <t>Feedback Deadline</t>
        </is>
      </c>
      <c r="X1" s="1" t="inlineStr">
        <is>
          <t>pERC Reconsideration Meeting</t>
        </is>
      </c>
      <c r="Y1" s="1" t="inlineStr">
        <is>
          <t>Notification to Implement Issued</t>
        </is>
      </c>
      <c r="Z1" s="1" t="inlineStr">
        <is>
          <t>Clarification</t>
        </is>
      </c>
    </row>
    <row r="2">
      <c r="A2" s="2">
        <f>HYPERLINK("https://www.cadth.ca/trastuzumab-emtansine-metastatic-breast-cancer-details", "Kadcyla")</f>
        <v>0</v>
      </c>
      <c r="B2" t="inlineStr">
        <is>
          <t>Trastuzumab emtansine</t>
        </is>
      </c>
      <c r="C2" t="inlineStr">
        <is>
          <t>Breast Metastatic Breast Cancer</t>
        </is>
      </c>
      <c r="E2" t="inlineStr">
        <is>
          <t>Notification to Implement Issued</t>
        </is>
      </c>
      <c r="F2" s="3">
        <v>41348</v>
      </c>
      <c r="G2" s="3">
        <v>41649</v>
      </c>
      <c r="H2" t="inlineStr">
        <is>
          <t>pCODR 10024</t>
        </is>
      </c>
      <c r="I2" t="inlineStr">
        <is>
          <t>100mg and 160 mg vial</t>
        </is>
      </c>
      <c r="J2" t="inlineStr">
        <is>
          <t>Breast</t>
        </is>
      </c>
      <c r="K2" t="inlineStr">
        <is>
          <t>The treatment of patients with HER2-positive, unresectable locally advanced or metastatic breast cancer who have received prior treatment with trastuzumab and a taxane</t>
        </is>
      </c>
      <c r="L2" t="inlineStr">
        <is>
          <t>Yes</t>
        </is>
      </c>
      <c r="M2" s="3">
        <v>41528</v>
      </c>
      <c r="N2" t="inlineStr">
        <is>
          <t>Hoffman-La Roche Ltd.</t>
        </is>
      </c>
      <c r="O2" t="inlineStr">
        <is>
          <t>Hoffman-La Roche Ltd.</t>
        </is>
      </c>
      <c r="P2" s="3">
        <v>41355</v>
      </c>
      <c r="Q2" t="inlineStr">
        <is>
          <t>New Drug</t>
        </is>
      </c>
      <c r="R2" t="inlineStr">
        <is>
          <t>Requested and Granted</t>
        </is>
      </c>
      <c r="T2" s="3">
        <v>41480</v>
      </c>
      <c r="U2" s="3">
        <v>41564</v>
      </c>
      <c r="X2" s="3">
        <v>41627</v>
      </c>
      <c r="Y2" s="3">
        <v>41666</v>
      </c>
      <c r="Z2" t="inlineStr">
        <is>
          <t>A delay in the receipt of marketing authorization (NOC) from Health Canada has impacted the review timeline.</t>
        </is>
      </c>
    </row>
    <row r="3">
      <c r="A3" s="2">
        <f>HYPERLINK("https://www.cadth.ca/nexavar-metastatic-progressive-differentiated-thyroid-carcinoma-details", "Nexavar")</f>
        <v>0</v>
      </c>
      <c r="B3" t="inlineStr">
        <is>
          <t>Sorafenib</t>
        </is>
      </c>
      <c r="C3" t="inlineStr">
        <is>
          <t>Endocrine Metastatic Progressive Differentiated Thyroid Carcinoma (DTC)</t>
        </is>
      </c>
      <c r="E3" t="inlineStr">
        <is>
          <t>Notification to Implement Issued</t>
        </is>
      </c>
      <c r="F3" s="3">
        <v>41992</v>
      </c>
      <c r="G3" s="3">
        <v>42201</v>
      </c>
      <c r="H3" t="inlineStr">
        <is>
          <t>pCODR 10049</t>
        </is>
      </c>
      <c r="I3" t="inlineStr">
        <is>
          <t>200 mg tablet</t>
        </is>
      </c>
      <c r="J3" t="inlineStr">
        <is>
          <t>Endocrine</t>
        </is>
      </c>
      <c r="K3" t="inlineStr">
        <is>
          <t>Treatment of patients with locally advanced or metastatic, progressive differentiated thyroid carcinoma (DTC) refractory to radioactive iodine</t>
        </is>
      </c>
      <c r="L3" t="inlineStr">
        <is>
          <t>No</t>
        </is>
      </c>
      <c r="M3" s="3">
        <v>41817</v>
      </c>
      <c r="N3" t="inlineStr">
        <is>
          <t>Bayer Inc.</t>
        </is>
      </c>
      <c r="O3" t="inlineStr">
        <is>
          <t>Bayer Inc.</t>
        </is>
      </c>
      <c r="P3" s="3">
        <v>42009</v>
      </c>
      <c r="Q3" t="inlineStr">
        <is>
          <t>New Indication</t>
        </is>
      </c>
      <c r="R3" t="inlineStr">
        <is>
          <t>Requested and Granted</t>
        </is>
      </c>
      <c r="U3" s="3">
        <v>42110</v>
      </c>
      <c r="X3" s="3">
        <v>42187</v>
      </c>
      <c r="Y3" s="3">
        <v>42216</v>
      </c>
      <c r="Z3" t="inlineStr">
        <is>
          <t>Due to the number of items for deliberation, the pERC meeting was conducted over two days. Unable to reach quorum for either day around the target reconsideration meeting date of June 18, 2015, pERC held  deliberations for all reconsideration items, including sorafenib, on July 2, 2015.</t>
        </is>
      </c>
    </row>
    <row r="4">
      <c r="A4" s="2">
        <f>HYPERLINK("https://www.cadth.ca/revlimid-multiple-myeloma-details", "Revlimid")</f>
        <v>0</v>
      </c>
      <c r="B4" t="inlineStr">
        <is>
          <t>Lenalidomide</t>
        </is>
      </c>
      <c r="C4" t="inlineStr">
        <is>
          <t>Myeloma Multiple Myeloma</t>
        </is>
      </c>
      <c r="E4" t="inlineStr">
        <is>
          <t>Notification to Implement Issued</t>
        </is>
      </c>
      <c r="F4" s="3">
        <v>41369</v>
      </c>
      <c r="G4" s="3">
        <v>41569</v>
      </c>
      <c r="H4" t="inlineStr">
        <is>
          <t>pCODR 10029</t>
        </is>
      </c>
      <c r="I4" t="inlineStr">
        <is>
          <t>5mg, 10mg, 15mg and 25mg capsules</t>
        </is>
      </c>
      <c r="J4" t="inlineStr">
        <is>
          <t>Myeloma</t>
        </is>
      </c>
      <c r="K4" t="inlineStr">
        <is>
          <t>For the maintenance treatment of newly diagnosed multiple myeloma in patients after stem-cell transplantation</t>
        </is>
      </c>
      <c r="L4" t="inlineStr">
        <is>
          <t>Yes</t>
        </is>
      </c>
      <c r="M4" s="3" t="inlineStr">
        <is>
          <t>N/A</t>
        </is>
      </c>
      <c r="N4" t="inlineStr">
        <is>
          <t>Celgene Inc.</t>
        </is>
      </c>
      <c r="O4" t="inlineStr">
        <is>
          <t>Celgene Inc.</t>
        </is>
      </c>
      <c r="P4" s="3">
        <v>41383</v>
      </c>
      <c r="Q4" t="inlineStr">
        <is>
          <t>New Indication</t>
        </is>
      </c>
      <c r="R4" t="inlineStr">
        <is>
          <t>Not Requested</t>
        </is>
      </c>
      <c r="T4" s="3">
        <v>41492</v>
      </c>
      <c r="U4" s="3">
        <v>41536</v>
      </c>
      <c r="Y4" s="3">
        <v>41584</v>
      </c>
    </row>
    <row r="5">
      <c r="A5" s="2">
        <f>HYPERLINK("https://www.cadth.ca/treanda-rituximab-chronic-lymphocytic-leukemia-details", "Treanda (in combination with rituximab)")</f>
        <v>0</v>
      </c>
      <c r="B5" t="inlineStr">
        <is>
          <t>Bendamustine hydrochloride</t>
        </is>
      </c>
      <c r="C5" t="inlineStr">
        <is>
          <t>Leukemia Chronic Lymphocytic Leukemia</t>
        </is>
      </c>
      <c r="E5" t="inlineStr">
        <is>
          <t>Withdrawn</t>
        </is>
      </c>
      <c r="F5" s="3">
        <v>41817</v>
      </c>
      <c r="H5" t="inlineStr">
        <is>
          <t>pCODR 10040</t>
        </is>
      </c>
      <c r="I5" t="inlineStr">
        <is>
          <t>25mg/vial and 100mg/vial</t>
        </is>
      </c>
      <c r="J5" t="inlineStr">
        <is>
          <t>Leukemia</t>
        </is>
      </c>
      <c r="K5" t="inlineStr">
        <is>
          <t>For the first-line treatment of patients with chronic lymphocytic leukemia in combination with rituximab</t>
        </is>
      </c>
      <c r="L5" t="inlineStr">
        <is>
          <t>Yes</t>
        </is>
      </c>
      <c r="M5" s="3" t="inlineStr">
        <is>
          <t>N/A</t>
        </is>
      </c>
      <c r="N5" t="inlineStr">
        <is>
          <t>Lundbeck Canada Inc.</t>
        </is>
      </c>
      <c r="O5" t="inlineStr">
        <is>
          <t>Lundbeck Canada Inc.</t>
        </is>
      </c>
      <c r="P5" s="3">
        <v>41850</v>
      </c>
      <c r="Q5" t="inlineStr">
        <is>
          <t>New Indication</t>
        </is>
      </c>
      <c r="R5" t="inlineStr">
        <is>
          <t>Not Requested</t>
        </is>
      </c>
      <c r="Z5" t="inlineStr">
        <is>
          <t>Lundbeck Canada Inc. has requested a voluntary withdrawal of the Bendamustine (Treanda) in combination with rituximab for CLL Submission in anticipation of new clinical information and possible resubmission. As per pCODR Procedures B3.1.6.2 b), the pCODR Secretariat has stopped the review. The pCODR Provincial Advisory Group has agreed with the manufacturer's request.</t>
        </is>
      </c>
    </row>
    <row r="6">
      <c r="A6" s="2">
        <f>HYPERLINK("https://www.cadth.ca/tykerb-letrozole-metastatic-breast-cancer-details", "Tykerb (in combination with Letrozole)")</f>
        <v>0</v>
      </c>
      <c r="B6" t="inlineStr">
        <is>
          <t>Lapatinib</t>
        </is>
      </c>
      <c r="C6" t="inlineStr">
        <is>
          <t>Breast Metastatic Breast Cancer</t>
        </is>
      </c>
      <c r="E6" t="inlineStr">
        <is>
          <t>Notification to Implement Issued</t>
        </is>
      </c>
      <c r="F6" s="3">
        <v>41257</v>
      </c>
      <c r="G6" s="3">
        <v>41460</v>
      </c>
      <c r="H6" t="inlineStr">
        <is>
          <t>pCODR 10019</t>
        </is>
      </c>
      <c r="I6" t="inlineStr">
        <is>
          <t>250 mg</t>
        </is>
      </c>
      <c r="J6" t="inlineStr">
        <is>
          <t>Breast</t>
        </is>
      </c>
      <c r="K6" t="inlineStr">
        <is>
          <t>In combination with letrozole for the treatment of postmenopausal patients with hormone receptor positive metastatic breast cancer, whose tumours overexpress the ErbB2 (HER2) receptor, and who are suitable for endocrine therapy</t>
        </is>
      </c>
      <c r="L6" t="inlineStr">
        <is>
          <t>No</t>
        </is>
      </c>
      <c r="M6" s="3">
        <v>40451</v>
      </c>
      <c r="N6" t="inlineStr">
        <is>
          <t>GlaxoSmithKline</t>
        </is>
      </c>
      <c r="O6" t="inlineStr">
        <is>
          <t>GlaxoSmithKline</t>
        </is>
      </c>
      <c r="P6" s="3">
        <v>41264</v>
      </c>
      <c r="Q6" t="inlineStr">
        <is>
          <t>New Indication</t>
        </is>
      </c>
      <c r="R6" t="inlineStr">
        <is>
          <t>Not Requested</t>
        </is>
      </c>
      <c r="T6" s="3">
        <v>41324</v>
      </c>
      <c r="U6" s="3">
        <v>41382</v>
      </c>
      <c r="X6" s="3">
        <v>41445</v>
      </c>
      <c r="Y6" s="3">
        <v>41477</v>
      </c>
    </row>
    <row r="7">
      <c r="A7" s="2">
        <f>HYPERLINK("https://www.cadth.ca/votrient-metastatic-renal-cell-carcinoma-details", "Votrient")</f>
        <v>0</v>
      </c>
      <c r="B7" t="inlineStr">
        <is>
          <t>Pazopanib hydrochloride</t>
        </is>
      </c>
      <c r="C7" t="inlineStr">
        <is>
          <t>Genitourinary Metastatic Renal Cell Carcinoma</t>
        </is>
      </c>
      <c r="E7" t="inlineStr">
        <is>
          <t>Notification to Implement Issued Resubmission Complete</t>
        </is>
      </c>
      <c r="F7" s="3">
        <v>40738</v>
      </c>
      <c r="G7" s="3">
        <v>40913</v>
      </c>
      <c r="H7" t="inlineStr">
        <is>
          <t>pCODR 10000</t>
        </is>
      </c>
      <c r="I7" t="inlineStr">
        <is>
          <t>200 mg</t>
        </is>
      </c>
      <c r="J7" t="inlineStr">
        <is>
          <t>Genitourinary</t>
        </is>
      </c>
      <c r="K7" t="inlineStr">
        <is>
          <t>First-line therapy in patients with metastatic renal cell (clear cell) carcinoma who have a Memorial Sloan Kettering Prognostic Score of Favourable or Intermediate Risk</t>
        </is>
      </c>
      <c r="L7" t="inlineStr">
        <is>
          <t>No</t>
        </is>
      </c>
      <c r="M7" s="3">
        <v>40325</v>
      </c>
      <c r="N7" t="inlineStr">
        <is>
          <t>GlaxoSmithKline Inc.</t>
        </is>
      </c>
      <c r="O7" t="inlineStr">
        <is>
          <t>GlaxoSmithKline Inc.</t>
        </is>
      </c>
      <c r="P7" s="3">
        <v>40745</v>
      </c>
      <c r="Q7" t="inlineStr">
        <is>
          <t>New Drug</t>
        </is>
      </c>
      <c r="R7" t="inlineStr">
        <is>
          <t>Not Requested</t>
        </is>
      </c>
      <c r="T7" s="3">
        <v>40788</v>
      </c>
      <c r="U7" s="3">
        <v>40836</v>
      </c>
      <c r="X7" s="3">
        <v>40892</v>
      </c>
      <c r="Y7" s="3">
        <v>40928</v>
      </c>
    </row>
    <row r="8">
      <c r="A8" s="2">
        <f>HYPERLINK("https://www.cadth.ca/xalkori-resubmission-first-line-advanced-nsclc-details", "Xalkori")</f>
        <v>0</v>
      </c>
      <c r="B8" t="inlineStr">
        <is>
          <t>Crizotinib</t>
        </is>
      </c>
      <c r="C8" t="inlineStr">
        <is>
          <t>Lung First Line ALK Positive Advanced NSCLC</t>
        </is>
      </c>
      <c r="E8" t="inlineStr">
        <is>
          <t>Notification to Implement Issued</t>
        </is>
      </c>
      <c r="F8" s="3">
        <v>42052</v>
      </c>
      <c r="G8" s="3">
        <v>42206</v>
      </c>
      <c r="H8" t="inlineStr">
        <is>
          <t>pCODR 10054</t>
        </is>
      </c>
      <c r="I8" t="inlineStr">
        <is>
          <t>200mg and 250mg capsules</t>
        </is>
      </c>
      <c r="J8" t="inlineStr">
        <is>
          <t>Lung</t>
        </is>
      </c>
      <c r="K8" t="inlineStr">
        <is>
          <t>As monotherapy for use in patients with anaplastic lymphoma kinase (ALK)-positive advanced (not amenable to curative therapy) or metastatic non-small cell lung cancer (NSCLC). The study PROFILE1014 will provide data specific to the efficacy and safety of Xalkori for the first-line treatment of ALK-positive advanced NSCLC patient population.</t>
        </is>
      </c>
      <c r="L8" t="inlineStr">
        <is>
          <t>No</t>
        </is>
      </c>
      <c r="M8" s="3">
        <v>41024</v>
      </c>
      <c r="N8" t="inlineStr">
        <is>
          <t>Pfizer Canada Inc.</t>
        </is>
      </c>
      <c r="O8" t="inlineStr">
        <is>
          <t>Pfizer Canada Inc.</t>
        </is>
      </c>
      <c r="P8" s="3">
        <v>42066</v>
      </c>
      <c r="Q8" t="inlineStr">
        <is>
          <t>Resubmission</t>
        </is>
      </c>
      <c r="R8" t="inlineStr">
        <is>
          <t>Not Requested</t>
        </is>
      </c>
      <c r="T8" s="3">
        <v>42115</v>
      </c>
      <c r="U8" s="3">
        <v>42173</v>
      </c>
      <c r="Y8" s="3">
        <v>42222</v>
      </c>
    </row>
    <row r="9">
      <c r="A9" s="2">
        <f>HYPERLINK("https://www.cadth.ca/zytiga-metastatic-castration-resistant-prostate-cancer-details", "Zytiga")</f>
        <v>0</v>
      </c>
      <c r="B9" t="inlineStr">
        <is>
          <t>Abiraterone acetate</t>
        </is>
      </c>
      <c r="C9" t="inlineStr">
        <is>
          <t>Genitourinary Metastatic Castration Resistant Prostate Cancer</t>
        </is>
      </c>
      <c r="E9" t="inlineStr">
        <is>
          <t>Notification to Implement Issued</t>
        </is>
      </c>
      <c r="F9" s="3">
        <v>41361</v>
      </c>
      <c r="G9" s="3">
        <v>41569</v>
      </c>
      <c r="H9" t="inlineStr">
        <is>
          <t>pCODR 10028</t>
        </is>
      </c>
      <c r="I9" t="inlineStr">
        <is>
          <t>250 mg tablet</t>
        </is>
      </c>
      <c r="J9" t="inlineStr">
        <is>
          <t>Genitourinary</t>
        </is>
      </c>
      <c r="K9" t="inlineStr">
        <is>
          <t>For asymptomatic or mildly symptomatic metastatic castration-resistant prostate cancer (mCRPC) patients after failure of ADT (have not received prior chemotherapy)</t>
        </is>
      </c>
      <c r="L9" t="inlineStr">
        <is>
          <t>Yes</t>
        </is>
      </c>
      <c r="M9" s="3">
        <v>41422</v>
      </c>
      <c r="N9" t="inlineStr">
        <is>
          <t>Janssen Inc.</t>
        </is>
      </c>
      <c r="O9" t="inlineStr">
        <is>
          <t>Janssen Inc.</t>
        </is>
      </c>
      <c r="P9" s="3">
        <v>41372</v>
      </c>
      <c r="Q9" t="inlineStr">
        <is>
          <t>New Indication</t>
        </is>
      </c>
      <c r="R9" t="inlineStr">
        <is>
          <t>No</t>
        </is>
      </c>
      <c r="T9" s="3">
        <v>41449</v>
      </c>
      <c r="U9" s="3">
        <v>41536</v>
      </c>
      <c r="Y9" s="3">
        <v>41584</v>
      </c>
    </row>
    <row r="10">
      <c r="A10" s="2">
        <f>HYPERLINK("https://www.cadth.ca/adcetris-systemic-anaplastic-large-cell-lymphoma-details", "Adcetris")</f>
        <v>0</v>
      </c>
      <c r="B10" t="inlineStr">
        <is>
          <t>Brentuximab vedotin</t>
        </is>
      </c>
      <c r="C10" t="inlineStr">
        <is>
          <t>Lymphoma Systemic Anaplastic Large Cell Lymphoma</t>
        </is>
      </c>
      <c r="E10" t="inlineStr">
        <is>
          <t>Notification to Implement Issued</t>
        </is>
      </c>
      <c r="F10" s="3">
        <v>41348</v>
      </c>
      <c r="G10" s="3">
        <v>41613</v>
      </c>
      <c r="H10" t="inlineStr">
        <is>
          <t>pCODR 10021</t>
        </is>
      </c>
      <c r="I10" t="inlineStr">
        <is>
          <t>50mg/vial</t>
        </is>
      </c>
      <c r="J10" t="inlineStr">
        <is>
          <t>Lymphoma</t>
        </is>
      </c>
      <c r="K10" t="inlineStr">
        <is>
          <t>For second-line treatment of sALCL patients - i.e. after failure of at least one prior multi-agent chemotherapy regimen</t>
        </is>
      </c>
      <c r="L10" t="inlineStr">
        <is>
          <t>No</t>
        </is>
      </c>
      <c r="M10" s="3">
        <v>41306</v>
      </c>
      <c r="N10" t="inlineStr">
        <is>
          <t>Seattle Genetics, Inc.</t>
        </is>
      </c>
      <c r="O10" t="inlineStr">
        <is>
          <t>Seattle Genetics, Inc.</t>
        </is>
      </c>
      <c r="P10" s="3">
        <v>41355</v>
      </c>
      <c r="Q10" t="inlineStr">
        <is>
          <t>New Drug</t>
        </is>
      </c>
      <c r="R10" t="inlineStr">
        <is>
          <t>Not Requested</t>
        </is>
      </c>
      <c r="T10" s="3">
        <v>41402</v>
      </c>
      <c r="U10" s="3">
        <v>41536</v>
      </c>
      <c r="X10" s="3">
        <v>41599</v>
      </c>
      <c r="Y10" s="3">
        <v>41628</v>
      </c>
      <c r="Z10" t="inlineStr">
        <is>
          <t>Time required for the submitter to provide additional economic information has impacted the review timeline.</t>
        </is>
      </c>
    </row>
    <row r="11">
      <c r="A11" s="2">
        <f>HYPERLINK("https://www.cadth.ca/arzerra-chronic-lymphocytic-leukemia-details", "Arzerra")</f>
        <v>0</v>
      </c>
      <c r="B11" t="inlineStr">
        <is>
          <t>Ofatumumab</t>
        </is>
      </c>
      <c r="C11" t="inlineStr">
        <is>
          <t>Leukemia Chronic Lymphocytic Leukemia</t>
        </is>
      </c>
      <c r="E11" t="inlineStr">
        <is>
          <t>Notification to Implement Issued</t>
        </is>
      </c>
      <c r="F11" s="3">
        <v>41743</v>
      </c>
      <c r="G11" s="3">
        <v>42033</v>
      </c>
      <c r="H11" t="inlineStr">
        <is>
          <t>pCODR 10038</t>
        </is>
      </c>
      <c r="I11" t="inlineStr">
        <is>
          <t>20mg /vial</t>
        </is>
      </c>
      <c r="J11" t="inlineStr">
        <is>
          <t>Leukemia</t>
        </is>
      </c>
      <c r="K11" t="inlineStr">
        <is>
          <t>In combination with chlorambucil, for the treatment of patients with chronic lymphocytic leukemia (CLL) who have not received prior therapy and are inappropriate for fludarabine-based therapy.</t>
        </is>
      </c>
      <c r="L11" t="inlineStr">
        <is>
          <t>Yes</t>
        </is>
      </c>
      <c r="M11" s="3">
        <v>41914</v>
      </c>
      <c r="N11" t="inlineStr">
        <is>
          <t>GlaxoSmithKline Inc.</t>
        </is>
      </c>
      <c r="O11" t="inlineStr">
        <is>
          <t>GlaxoSmithKline Inc.</t>
        </is>
      </c>
      <c r="P11" s="3">
        <v>41751</v>
      </c>
      <c r="Q11" t="inlineStr">
        <is>
          <t>New Drug</t>
        </is>
      </c>
      <c r="R11" t="inlineStr">
        <is>
          <t>Not Requested</t>
        </is>
      </c>
      <c r="T11" s="3">
        <v>41836</v>
      </c>
      <c r="U11" s="3">
        <v>41963</v>
      </c>
      <c r="X11" s="3">
        <v>42019</v>
      </c>
      <c r="Y11" s="3">
        <v>42058</v>
      </c>
      <c r="Z11" t="inlineStr">
        <is>
          <t>A procedural review request was received from GlaxoSmithKline Inc. on February 6, 2015. As per Section 3 of the pCODR Procedural Review Guidelines, this procedural review request was submitted on the basis that pCODR failed to act in accordance with its procedures in conducting the review, as described in the pCODR Procedures, and that pERC failed to apply its deliberative framework in formulating its recommendation, as outlined in the pERC Deliberative Framework. As per Section 6 of the pCODR Procedural Review Guidelines, the procedural review request was reviewed by the President and CEO of CADTH, with advice from the pCODR Advisory Committee (PAC) Chair and Vice-Chair. It was determined on February 20, 2015, that the grounds for a procedural review request did not exist. As such, a Notification to Implement has been issued for February 23, 2015.</t>
        </is>
      </c>
    </row>
    <row r="12">
      <c r="A12" s="2">
        <f>HYPERLINK("https://www.cadth.ca/giotrif-advanced-non-small-cell-lung-cancer-details", "Giotrif")</f>
        <v>0</v>
      </c>
      <c r="B12" t="inlineStr">
        <is>
          <t>Afatinib</t>
        </is>
      </c>
      <c r="C12" t="inlineStr">
        <is>
          <t>Lung Advanced Non Small Cell Lung Cancer</t>
        </is>
      </c>
      <c r="E12" t="inlineStr">
        <is>
          <t>Notification to Implement Issued</t>
        </is>
      </c>
      <c r="F12" s="3">
        <v>41432</v>
      </c>
      <c r="G12" s="3">
        <v>41761</v>
      </c>
      <c r="H12" t="inlineStr">
        <is>
          <t>pCODR 10032</t>
        </is>
      </c>
      <c r="I12" t="inlineStr">
        <is>
          <t>20mg, 30mg, and 40mg tablets</t>
        </is>
      </c>
      <c r="J12" t="inlineStr">
        <is>
          <t>Lung</t>
        </is>
      </c>
      <c r="K12" t="inlineStr">
        <is>
          <t>For the first line treatment of EGFR Mutation Positive, Advanced Non-Small Cell Lung Cancer patients</t>
        </is>
      </c>
      <c r="L12" t="inlineStr">
        <is>
          <t>Yes</t>
        </is>
      </c>
      <c r="M12" s="3">
        <v>41579</v>
      </c>
      <c r="N12" t="inlineStr">
        <is>
          <t>Boehringer Ingelheim Canada Ltd.</t>
        </is>
      </c>
      <c r="O12" t="inlineStr">
        <is>
          <t>Boehringer Ingelheim Canada Ltd.</t>
        </is>
      </c>
      <c r="P12" s="3">
        <v>41444</v>
      </c>
      <c r="Q12" t="inlineStr">
        <is>
          <t>New Drug</t>
        </is>
      </c>
      <c r="R12" t="inlineStr">
        <is>
          <t>Not Requested</t>
        </is>
      </c>
      <c r="T12" s="3">
        <v>41547</v>
      </c>
      <c r="U12" s="3">
        <v>41690</v>
      </c>
      <c r="X12" s="3">
        <v>41746</v>
      </c>
      <c r="Y12" s="3">
        <v>41779</v>
      </c>
      <c r="Z12" t="inlineStr">
        <is>
          <t>A delay in the receipt of Category 2 Part 2 requirements has impacted the review timeline.</t>
        </is>
      </c>
    </row>
    <row r="13">
      <c r="A13" s="2">
        <f>HYPERLINK("https://www.cadth.ca/gazyva-follicular-lymphoma-previously-untreated-details", "Gazyva")</f>
        <v>0</v>
      </c>
      <c r="B13" t="inlineStr">
        <is>
          <t>Obinutuzumab</t>
        </is>
      </c>
      <c r="C13" t="inlineStr">
        <is>
          <t>Lymphoma  Follicular Lymphoma (previously untreated)</t>
        </is>
      </c>
      <c r="E13" t="inlineStr">
        <is>
          <t>Notification to Implement Issued</t>
        </is>
      </c>
      <c r="F13" s="3">
        <v>43174</v>
      </c>
      <c r="G13" s="3">
        <v>43405</v>
      </c>
      <c r="H13" t="inlineStr">
        <is>
          <t>pCODR 10126</t>
        </is>
      </c>
      <c r="I13" t="inlineStr">
        <is>
          <t>25 mg/mL</t>
        </is>
      </c>
      <c r="J13" t="inlineStr">
        <is>
          <t>Lymphoma</t>
        </is>
      </c>
      <c r="K13" t="inlineStr">
        <is>
          <t>For the treatment of patients with previously untreated stage II bulky (&gt;7cm), III or IV follicular lymphoma (FL)</t>
        </is>
      </c>
      <c r="L13" t="inlineStr">
        <is>
          <t>Yes</t>
        </is>
      </c>
      <c r="M13" s="3">
        <v>43286</v>
      </c>
      <c r="N13" t="inlineStr">
        <is>
          <t>Hoffmann-La Roche Limited</t>
        </is>
      </c>
      <c r="O13" t="inlineStr">
        <is>
          <t>Hoffmann-La Roche Limited</t>
        </is>
      </c>
      <c r="P13" s="3">
        <v>43181</v>
      </c>
      <c r="Q13" t="inlineStr">
        <is>
          <t>New Indication</t>
        </is>
      </c>
      <c r="R13" t="inlineStr">
        <is>
          <t>Requested and Not Granted</t>
        </is>
      </c>
      <c r="T13" s="3">
        <v>43228</v>
      </c>
      <c r="U13" s="3">
        <v>43328</v>
      </c>
      <c r="X13" s="3">
        <v>43391</v>
      </c>
      <c r="Y13" s="3">
        <v>43420</v>
      </c>
    </row>
    <row r="14">
      <c r="A14" s="2">
        <f>HYPERLINK("https://www.cadth.ca/unituxin-neuroblastoma-details", "Unituxin")</f>
        <v>0</v>
      </c>
      <c r="B14" t="inlineStr">
        <is>
          <t>Dinutuximab</t>
        </is>
      </c>
      <c r="C14" t="inlineStr">
        <is>
          <t>Neurological Neuroblastoma</t>
        </is>
      </c>
      <c r="E14" t="inlineStr">
        <is>
          <t>Notification to Implement Issued</t>
        </is>
      </c>
      <c r="F14" s="3">
        <v>43374</v>
      </c>
      <c r="G14" s="3">
        <v>43550</v>
      </c>
      <c r="H14" t="inlineStr">
        <is>
          <t>pCODR 10154</t>
        </is>
      </c>
      <c r="I14" t="inlineStr">
        <is>
          <t>3.5 mg / mL</t>
        </is>
      </c>
      <c r="J14" t="inlineStr">
        <is>
          <t>Neurological</t>
        </is>
      </c>
      <c r="K14" t="inlineStr">
        <is>
          <t>To be used in combination with GM-CSF, IL-2 and Retinoic acid (RA) for the treatment of pediatric patients with high-risk neuroblastoma who achieve at least a partial response to prior first-line multi-agent, multimodal therapy</t>
        </is>
      </c>
      <c r="L14" t="inlineStr">
        <is>
          <t>Yes</t>
        </is>
      </c>
      <c r="M14" s="3">
        <v>43432</v>
      </c>
      <c r="N14" t="inlineStr">
        <is>
          <t>United Therapeutics Corp.</t>
        </is>
      </c>
      <c r="O14" t="inlineStr">
        <is>
          <t>United Therapeutics Corp.</t>
        </is>
      </c>
      <c r="P14" s="3">
        <v>43389</v>
      </c>
      <c r="Q14" t="inlineStr">
        <is>
          <t>New Drug</t>
        </is>
      </c>
      <c r="T14" s="3">
        <v>43433</v>
      </c>
      <c r="U14" s="3">
        <v>43517</v>
      </c>
      <c r="Y14" s="3">
        <v>43565</v>
      </c>
    </row>
    <row r="15">
      <c r="A15" s="2">
        <f>HYPERLINK("https://www.cadth.ca/xalkori-ros1-positive-advanced-non-small-cell-lung-cancer-details", "Xalkori")</f>
        <v>0</v>
      </c>
      <c r="B15" t="inlineStr">
        <is>
          <t>Crizotinib</t>
        </is>
      </c>
      <c r="C15" t="inlineStr">
        <is>
          <t>Lung ROS1-positive advanced Non-Small Cell Lung Cancer</t>
        </is>
      </c>
      <c r="E15" t="inlineStr">
        <is>
          <t>Notification to Implement Issued</t>
        </is>
      </c>
      <c r="F15" s="3">
        <v>43403</v>
      </c>
      <c r="G15" s="3">
        <v>43608</v>
      </c>
      <c r="H15" t="inlineStr">
        <is>
          <t>pCODR 10151</t>
        </is>
      </c>
      <c r="I15" t="inlineStr">
        <is>
          <t>200 mg &amp; 250 mg</t>
        </is>
      </c>
      <c r="J15" t="inlineStr">
        <is>
          <t>Lung</t>
        </is>
      </c>
      <c r="K15" t="inlineStr">
        <is>
          <t>As a single agent as first-line treatment for patients with ROS1-positive advanced non-small cell lung cancer (NSCLC)</t>
        </is>
      </c>
      <c r="L15" t="inlineStr">
        <is>
          <t>No</t>
        </is>
      </c>
      <c r="M15" s="3">
        <v>42975</v>
      </c>
      <c r="N15" t="inlineStr">
        <is>
          <t>Pfizer Canada Inc.</t>
        </is>
      </c>
      <c r="O15" t="inlineStr">
        <is>
          <t>Cancer Care Ontario Lung Cancer Drug Advisory Committee</t>
        </is>
      </c>
      <c r="P15" s="3">
        <v>43417</v>
      </c>
      <c r="Q15" t="inlineStr">
        <is>
          <t>New Indication</t>
        </is>
      </c>
      <c r="T15" s="3">
        <v>43487</v>
      </c>
      <c r="U15" s="3">
        <v>43573</v>
      </c>
      <c r="Y15" s="3">
        <v>43623</v>
      </c>
    </row>
    <row r="16">
      <c r="A16" s="2">
        <f>HYPERLINK("https://www.cadth.ca/lynparza-ovarian-cancer-resubmission-details", "Lynparza (Resubmission)")</f>
        <v>0</v>
      </c>
      <c r="B16" t="inlineStr">
        <is>
          <t>Olaparib</t>
        </is>
      </c>
      <c r="C16" t="inlineStr">
        <is>
          <t>Gynecology Ovarian Cancer</t>
        </is>
      </c>
      <c r="E16" t="inlineStr">
        <is>
          <t>Notification to Implement Issued</t>
        </is>
      </c>
      <c r="F16" s="3">
        <v>42811</v>
      </c>
      <c r="G16" s="3">
        <v>42998</v>
      </c>
      <c r="H16" t="inlineStr">
        <is>
          <t>pCODR 10103</t>
        </is>
      </c>
      <c r="I16" t="inlineStr">
        <is>
          <t>50 mg capsules</t>
        </is>
      </c>
      <c r="J16" t="inlineStr">
        <is>
          <t>Gynecology</t>
        </is>
      </c>
      <c r="K16" t="inlineStr">
        <is>
          <t>As monotherapy maintenance treatment of adult patients with platinum-sensitive relapsed BRCA-mutated epithelial ovarian, fallopian tube or primary peritoneal cancer who are in response to platinum-based chemotherapy</t>
        </is>
      </c>
      <c r="L16" t="inlineStr">
        <is>
          <t>No</t>
        </is>
      </c>
      <c r="M16" s="3">
        <v>42489</v>
      </c>
      <c r="N16" t="inlineStr">
        <is>
          <t>AstraZeneca Canada Inc.</t>
        </is>
      </c>
      <c r="O16" t="inlineStr">
        <is>
          <t>AstraZeneca Canada Inc.</t>
        </is>
      </c>
      <c r="P16" s="3">
        <v>42825</v>
      </c>
      <c r="Q16" t="inlineStr">
        <is>
          <t>Resubmission</t>
        </is>
      </c>
      <c r="R16" t="inlineStr">
        <is>
          <t>Requested and Granted</t>
        </is>
      </c>
      <c r="T16" s="3">
        <v>42870</v>
      </c>
      <c r="U16" s="3">
        <v>42964</v>
      </c>
      <c r="Y16" s="3">
        <v>43013</v>
      </c>
    </row>
    <row r="17">
      <c r="A17" s="2">
        <f>HYPERLINK("https://www.cadth.ca/blincyto-mrd-positive-b-cell-precursor-all", "Blincyto")</f>
        <v>0</v>
      </c>
      <c r="B17" t="inlineStr">
        <is>
          <t>Blinatumomab</t>
        </is>
      </c>
      <c r="C17" t="inlineStr">
        <is>
          <t>Leukemia Minimal residual disease (MRD)-positive B-cell precursor acute lymphoblastic leukemia (ALL)</t>
        </is>
      </c>
      <c r="E17" t="inlineStr">
        <is>
          <t>Withdrawn</t>
        </is>
      </c>
      <c r="F17" s="3">
        <v>43280</v>
      </c>
      <c r="H17" t="inlineStr">
        <is>
          <t>pCODR 10143</t>
        </is>
      </c>
      <c r="J17" t="inlineStr">
        <is>
          <t>Leukemia</t>
        </is>
      </c>
      <c r="K17" t="inlineStr">
        <is>
          <t>For the treatment of patients with minimal residual disease (MRD)-positive B-cell precursor ALL</t>
        </is>
      </c>
      <c r="L17" t="inlineStr">
        <is>
          <t>Yes</t>
        </is>
      </c>
      <c r="N17" t="inlineStr">
        <is>
          <t>Amgen Canada Inc.</t>
        </is>
      </c>
      <c r="O17" t="inlineStr">
        <is>
          <t>Amgen Canada Inc.</t>
        </is>
      </c>
      <c r="P17" s="3">
        <v>43290</v>
      </c>
      <c r="Q17" t="inlineStr">
        <is>
          <t>New Indication</t>
        </is>
      </c>
      <c r="R17" t="inlineStr">
        <is>
          <t>Not Requested</t>
        </is>
      </c>
      <c r="T17" s="3">
        <v>43341</v>
      </c>
      <c r="Z17" t="inlineStr">
        <is>
          <t>Amgen Canada Inc. has notified pCODR that the Category 2 submission requirements for the pre NOC submission of Blinatumomab (Blincyto) for MRD-positive B-cell precursor ALL cannot be met at this time. As per pCODR Procedures C3.1.6, the pCODR program has stopped the review.</t>
        </is>
      </c>
    </row>
    <row r="18">
      <c r="A18" s="2">
        <f>HYPERLINK("https://www.cadth.ca/revlimid-combo-bortezomib-dexamethasone-newly-diagnosed-multiple-myeloma-details", "Revlimid")</f>
        <v>0</v>
      </c>
      <c r="B18" t="inlineStr">
        <is>
          <t>Lenalidomide</t>
        </is>
      </c>
      <c r="C18" t="inlineStr">
        <is>
          <t>Myeloma Multiple Myeloma</t>
        </is>
      </c>
      <c r="E18" t="inlineStr">
        <is>
          <t>Notification to Implement Issued</t>
        </is>
      </c>
      <c r="G18" s="3">
        <v>43635</v>
      </c>
      <c r="H18" t="inlineStr">
        <is>
          <t>pCODR 10141</t>
        </is>
      </c>
      <c r="I18" t="inlineStr">
        <is>
          <t>2.5 mg, 5 mg, 10 mg, 15 mg, 20 mg and 25 mg</t>
        </is>
      </c>
      <c r="J18" t="inlineStr">
        <is>
          <t>Myeloma</t>
        </is>
      </c>
      <c r="K18" t="inlineStr">
        <is>
          <t>The combination of lenalidomide, bortezomib, and low-dose dexamethasone, for the treatment of newly diagnosed multiple myeloma patients in whom stem cell transplantation is not intended</t>
        </is>
      </c>
      <c r="L18" t="inlineStr">
        <is>
          <t>No</t>
        </is>
      </c>
      <c r="M18" s="3" t="inlineStr">
        <is>
          <t>N/A</t>
        </is>
      </c>
      <c r="N18" t="inlineStr">
        <is>
          <t>Celgene Inc.</t>
        </is>
      </c>
      <c r="O18" t="inlineStr">
        <is>
          <t>Celgene Inc.</t>
        </is>
      </c>
      <c r="P18" s="3">
        <v>43479</v>
      </c>
      <c r="Q18" t="inlineStr">
        <is>
          <t>New Indication</t>
        </is>
      </c>
      <c r="T18" s="3">
        <v>43529</v>
      </c>
      <c r="U18" s="3">
        <v>43601</v>
      </c>
      <c r="Y18" s="3">
        <v>43651</v>
      </c>
    </row>
    <row r="19">
      <c r="A19" s="2">
        <f>HYPERLINK("https://www.cadth.ca/keytruda-metastatic-urothelial-carcinoma-first-line-details", "Keytruda")</f>
        <v>0</v>
      </c>
      <c r="B19" t="inlineStr">
        <is>
          <t>Pembrolizumab</t>
        </is>
      </c>
      <c r="C19" t="inlineStr">
        <is>
          <t>Genitourinary Metastatic Urothelial Carcinoma (first line)</t>
        </is>
      </c>
      <c r="E19" t="inlineStr">
        <is>
          <t>Notification to Implement Issued</t>
        </is>
      </c>
      <c r="F19" s="3">
        <v>43516</v>
      </c>
      <c r="G19" s="3">
        <v>43741</v>
      </c>
      <c r="H19" t="inlineStr">
        <is>
          <t>pCODR 10177</t>
        </is>
      </c>
      <c r="I19" t="inlineStr">
        <is>
          <t>25 mg/mL</t>
        </is>
      </c>
      <c r="J19" t="inlineStr">
        <is>
          <t>Genitourinary</t>
        </is>
      </c>
      <c r="K19" t="inlineStr">
        <is>
          <t>For the treatment of patients with locally advanced or metastatic urothelial carcinoma, as monotherapy, in adults who are not eligible for cisplatin-containing chemotherapy and whose tumours express PD‑L1 [Combined Positive Score (CPS) ≥10] as determined by a validated test, or in patients who are not eligible for any platinum‑containing chemotherapy regardless of PD‑L1 status</t>
        </is>
      </c>
      <c r="L19" t="inlineStr">
        <is>
          <t>Yes</t>
        </is>
      </c>
      <c r="M19" s="3">
        <v>43566</v>
      </c>
      <c r="N19" t="inlineStr">
        <is>
          <t>Merck Canada</t>
        </is>
      </c>
      <c r="O19" t="inlineStr">
        <is>
          <t>Merck Canada</t>
        </is>
      </c>
      <c r="Q19" t="inlineStr">
        <is>
          <t>New Indication</t>
        </is>
      </c>
      <c r="U19" s="3">
        <v>43664</v>
      </c>
      <c r="X19" s="3">
        <v>43727</v>
      </c>
      <c r="Y19" s="3">
        <v>43759</v>
      </c>
    </row>
    <row r="20">
      <c r="A20" s="2">
        <f>HYPERLINK("https://www.cadth.ca/lenvima-hepatocellular-carcinoma-details", "Lenvima")</f>
        <v>0</v>
      </c>
      <c r="B20" t="inlineStr">
        <is>
          <t>Lenvatinib</t>
        </is>
      </c>
      <c r="C20" t="inlineStr">
        <is>
          <t>Gastrointestinal Hepatocellular Carcinoma</t>
        </is>
      </c>
      <c r="E20" t="inlineStr">
        <is>
          <t>Notification to Implement Issued</t>
        </is>
      </c>
      <c r="F20" s="3">
        <v>43504</v>
      </c>
      <c r="G20" s="3">
        <v>43670</v>
      </c>
      <c r="H20" t="inlineStr">
        <is>
          <t>pCODR 10175</t>
        </is>
      </c>
      <c r="I20" t="inlineStr">
        <is>
          <t>4 mg &amp; 12 mg</t>
        </is>
      </c>
      <c r="J20" t="inlineStr">
        <is>
          <t>Gastrointestinal</t>
        </is>
      </c>
      <c r="K20" t="inlineStr">
        <is>
          <t>For the first-line treatment of adult patients with unresectable Hepatocellular Carcinoma (HCC)</t>
        </is>
      </c>
      <c r="L20" t="inlineStr">
        <is>
          <t>No</t>
        </is>
      </c>
      <c r="M20" s="3">
        <v>43453</v>
      </c>
      <c r="N20" t="inlineStr">
        <is>
          <t>Eisai Limited</t>
        </is>
      </c>
      <c r="O20" t="inlineStr">
        <is>
          <t>Eisai Limited</t>
        </is>
      </c>
      <c r="P20" s="3">
        <v>43521</v>
      </c>
      <c r="Q20" t="inlineStr">
        <is>
          <t>New Indication</t>
        </is>
      </c>
      <c r="T20" s="3">
        <v>43567</v>
      </c>
      <c r="U20" s="3">
        <v>43636</v>
      </c>
      <c r="Y20" s="3">
        <v>43686</v>
      </c>
    </row>
    <row r="21">
      <c r="A21" s="2">
        <f>HYPERLINK("https://www.cadth.ca/opdivo-hepatocellular-carcinoma-details", "Opdivo")</f>
        <v>0</v>
      </c>
      <c r="B21" t="inlineStr">
        <is>
          <t>Nivolumab</t>
        </is>
      </c>
      <c r="C21" t="inlineStr">
        <is>
          <t>Gastrointestinal Hepatocellular Carcinoma (HCC)</t>
        </is>
      </c>
      <c r="E21" t="inlineStr">
        <is>
          <t>Notification to Implement Issued</t>
        </is>
      </c>
      <c r="F21" s="3">
        <v>43228</v>
      </c>
      <c r="G21" s="3">
        <v>43433</v>
      </c>
      <c r="H21" t="inlineStr">
        <is>
          <t>pCODR 10134</t>
        </is>
      </c>
      <c r="I21" t="inlineStr">
        <is>
          <t>10 mg/mL</t>
        </is>
      </c>
      <c r="J21" t="inlineStr">
        <is>
          <t>Gastrointestinal</t>
        </is>
      </c>
      <c r="K21" t="inlineStr">
        <is>
          <t>For the treatment of adult patients with advanced (not amenable to curative therapy or local therapeutic measures) or metastatic hepatocellular carcinoma who are intolerant to or have progressed on sorafenib therapy</t>
        </is>
      </c>
      <c r="L21" t="inlineStr">
        <is>
          <t>No</t>
        </is>
      </c>
      <c r="M21" s="3">
        <v>43182</v>
      </c>
      <c r="N21" t="inlineStr">
        <is>
          <t>Bristol-Myers Squibb Canada</t>
        </is>
      </c>
      <c r="O21" t="inlineStr">
        <is>
          <t>Bristol-Myers Squibb Canada</t>
        </is>
      </c>
      <c r="P21" s="3">
        <v>43235</v>
      </c>
      <c r="Q21" t="inlineStr">
        <is>
          <t>New Indication</t>
        </is>
      </c>
      <c r="R21" t="inlineStr">
        <is>
          <t>Not Requested</t>
        </is>
      </c>
      <c r="T21" s="3">
        <v>43291</v>
      </c>
      <c r="U21" s="3">
        <v>43363</v>
      </c>
      <c r="X21" s="3">
        <v>43419</v>
      </c>
      <c r="Y21" s="3">
        <v>43448</v>
      </c>
    </row>
    <row r="22">
      <c r="A22" s="2">
        <f>HYPERLINK("https://www.cadth.ca/keytruda-non-squamous-nsclc-details", "Keytruda")</f>
        <v>0</v>
      </c>
      <c r="B22" t="inlineStr">
        <is>
          <t>Pembrolizumab</t>
        </is>
      </c>
      <c r="C22" t="inlineStr">
        <is>
          <t>Lung Non-Squamous NSCLC</t>
        </is>
      </c>
      <c r="E22" t="inlineStr">
        <is>
          <t>Notification to Implement Issued</t>
        </is>
      </c>
      <c r="F22" s="3">
        <v>43357</v>
      </c>
      <c r="G22" s="3">
        <v>43616</v>
      </c>
      <c r="H22" t="inlineStr">
        <is>
          <t>pCODR 10153</t>
        </is>
      </c>
      <c r="I22" t="inlineStr">
        <is>
          <t>25 mg/mL &amp; 50 mg/vial</t>
        </is>
      </c>
      <c r="J22" t="inlineStr">
        <is>
          <t>Lung</t>
        </is>
      </c>
      <c r="K22" t="inlineStr">
        <is>
          <t>In combination with pemetrexed and platinum chemotherapy, for the treatment of metastatic non-squamous NSCLC, in adults with no EGFR or ALK genomic tumor aberrations, and no prior systemic chemotherapy treatment for metastatic NSCLC.</t>
        </is>
      </c>
      <c r="L22" t="inlineStr">
        <is>
          <t>Yes</t>
        </is>
      </c>
      <c r="M22" s="3">
        <v>43537</v>
      </c>
      <c r="N22" t="inlineStr">
        <is>
          <t>Merck Canada</t>
        </is>
      </c>
      <c r="O22" t="inlineStr">
        <is>
          <t>Merck Canada</t>
        </is>
      </c>
      <c r="P22" s="3">
        <v>43371</v>
      </c>
      <c r="Q22" t="inlineStr">
        <is>
          <t>New Indication</t>
        </is>
      </c>
      <c r="T22" s="3">
        <v>43445</v>
      </c>
      <c r="U22" s="3">
        <v>43545</v>
      </c>
      <c r="X22" s="3">
        <v>43601</v>
      </c>
      <c r="Y22" s="3">
        <v>43633</v>
      </c>
    </row>
    <row r="23">
      <c r="A23" s="2">
        <f>HYPERLINK("https://www.cadth.ca/rfa-bosulif-chronic-myeloid-leukemia-details", "Bosulif (RFA)")</f>
        <v>0</v>
      </c>
      <c r="B23" t="inlineStr">
        <is>
          <t>Bosutinib</t>
        </is>
      </c>
      <c r="C23" t="inlineStr">
        <is>
          <t>Leukemia Chronic Myeloid Leukemia</t>
        </is>
      </c>
      <c r="E23" t="inlineStr">
        <is>
          <t>Notification to Implement Issued</t>
        </is>
      </c>
      <c r="F23" s="3">
        <v>43563</v>
      </c>
      <c r="H23" t="inlineStr">
        <is>
          <t>pCODR RFA 0002</t>
        </is>
      </c>
      <c r="J23" t="inlineStr">
        <is>
          <t>Leukemia</t>
        </is>
      </c>
      <c r="N23" t="inlineStr">
        <is>
          <t>Pfizer Canada Inc.</t>
        </is>
      </c>
      <c r="O23" t="inlineStr">
        <is>
          <t>pCODR Provincial Advisory Group</t>
        </is>
      </c>
      <c r="Q23" t="inlineStr">
        <is>
          <t>Request for Advice</t>
        </is>
      </c>
      <c r="U23" s="3">
        <v>43664</v>
      </c>
      <c r="Y23" s="3">
        <v>43679</v>
      </c>
    </row>
    <row r="24">
      <c r="A24" s="2">
        <f>HYPERLINK("https://www.cadth.ca/darzalex-multiple-myeloma-details", "Darzalex")</f>
        <v>0</v>
      </c>
      <c r="B24" t="inlineStr">
        <is>
          <t>Daratumumab</t>
        </is>
      </c>
      <c r="C24" t="inlineStr">
        <is>
          <t>Myeloma Multiple Myeloma</t>
        </is>
      </c>
      <c r="E24" t="inlineStr">
        <is>
          <t>Notification to Implement Issued</t>
        </is>
      </c>
      <c r="F24" s="3">
        <v>42481</v>
      </c>
      <c r="G24" s="3">
        <v>42705</v>
      </c>
      <c r="H24" t="inlineStr">
        <is>
          <t>pCODR 10079</t>
        </is>
      </c>
      <c r="I24" t="inlineStr">
        <is>
          <t>100mg/5mL and 400mg/20mL</t>
        </is>
      </c>
      <c r="J24" t="inlineStr">
        <is>
          <t>Myeloma</t>
        </is>
      </c>
      <c r="K24" t="inlineStr">
        <is>
          <t>For the treatment of patients with multiple myeloma who 1) have received at least 3 prior lines of therapy including a proteasome inhibitor (PI) and  an immunomodulatory agent (IMiD); OR 2) have failed or are intolerant to a PI and who have failed or are intolerant to an IMiD</t>
        </is>
      </c>
      <c r="L24" t="inlineStr">
        <is>
          <t>Yes</t>
        </is>
      </c>
      <c r="M24" s="3">
        <v>42550</v>
      </c>
      <c r="N24" t="inlineStr">
        <is>
          <t>Janssen Canada Inc.</t>
        </is>
      </c>
      <c r="O24" t="inlineStr">
        <is>
          <t>Janssen Canada Inc.</t>
        </is>
      </c>
      <c r="P24" s="3">
        <v>42502</v>
      </c>
      <c r="Q24" t="inlineStr">
        <is>
          <t>New Drug</t>
        </is>
      </c>
      <c r="R24" t="inlineStr">
        <is>
          <t>Requested and Not Granted</t>
        </is>
      </c>
      <c r="T24" s="3">
        <v>42559</v>
      </c>
      <c r="U24" s="3">
        <v>42628</v>
      </c>
      <c r="X24" s="3">
        <v>42691</v>
      </c>
      <c r="Y24" s="3">
        <v>42720</v>
      </c>
    </row>
    <row r="25">
      <c r="A25" s="2">
        <f>HYPERLINK("https://www.cadth.ca/blinatumomab-blincyto-ph-all", "Blincyto")</f>
        <v>0</v>
      </c>
      <c r="B25" t="inlineStr">
        <is>
          <t>Blinatumomab</t>
        </is>
      </c>
      <c r="C25" t="inlineStr">
        <is>
          <t>Leukemia Acute Lymphoblastic Leukemia</t>
        </is>
      </c>
      <c r="E25" t="inlineStr">
        <is>
          <t>Notification to Implement Issued</t>
        </is>
      </c>
      <c r="F25" s="3">
        <v>42240</v>
      </c>
      <c r="G25" s="3">
        <v>42461</v>
      </c>
      <c r="H25" t="inlineStr">
        <is>
          <t>pCODR 10064</t>
        </is>
      </c>
      <c r="I25" t="inlineStr">
        <is>
          <t>38.5 µg (mcg) vial</t>
        </is>
      </c>
      <c r="J25" t="inlineStr">
        <is>
          <t>Leukemia</t>
        </is>
      </c>
      <c r="K25" t="inlineStr">
        <is>
          <t>For the treatment of patients with Philadelphia chromosome-negative relapsed or refractory B precursor acute lymphoblastic leukemia (ALL)</t>
        </is>
      </c>
      <c r="L25" t="inlineStr">
        <is>
          <t>Yes</t>
        </is>
      </c>
      <c r="M25" s="3">
        <v>42360</v>
      </c>
      <c r="N25" t="inlineStr">
        <is>
          <t>Amgen Canada Inc.</t>
        </is>
      </c>
      <c r="O25" t="inlineStr">
        <is>
          <t>Amgen Canada Inc.</t>
        </is>
      </c>
      <c r="P25" s="3">
        <v>42247</v>
      </c>
      <c r="Q25" t="inlineStr">
        <is>
          <t>New Drug</t>
        </is>
      </c>
      <c r="R25" t="inlineStr">
        <is>
          <t>Requested and Not Granted</t>
        </is>
      </c>
      <c r="T25" s="3">
        <v>42296</v>
      </c>
      <c r="U25" s="3">
        <v>42390</v>
      </c>
      <c r="X25" s="3">
        <v>42446</v>
      </c>
      <c r="Y25" s="3">
        <v>42478</v>
      </c>
      <c r="Z25" t="inlineStr">
        <is>
          <t>The Manufacturer had advised that Category 2 submission requirements for a pre-NOC submission were not available to complete the submission for a December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is>
      </c>
    </row>
    <row r="26">
      <c r="A26" s="2">
        <f>HYPERLINK("https://www.cadth.ca/jakavi-polycythemia-vera-details", "Jakavi")</f>
        <v>0</v>
      </c>
      <c r="B26" t="inlineStr">
        <is>
          <t>Ruxolitinib</t>
        </is>
      </c>
      <c r="C26" t="inlineStr">
        <is>
          <t>Other Polycythemia vera</t>
        </is>
      </c>
      <c r="E26" t="inlineStr">
        <is>
          <t>Notification to Implement Issued</t>
        </is>
      </c>
      <c r="F26" s="3">
        <v>42243</v>
      </c>
      <c r="G26" s="3">
        <v>42432</v>
      </c>
      <c r="H26" t="inlineStr">
        <is>
          <t>pCODR 10065</t>
        </is>
      </c>
      <c r="I26" t="inlineStr">
        <is>
          <t>5 mg, 10 mg, 15 mg, 20 mg tablets</t>
        </is>
      </c>
      <c r="J26" t="inlineStr">
        <is>
          <t>Other</t>
        </is>
      </c>
      <c r="K26" t="inlineStr">
        <is>
          <t>For the treatment of adult patients with polycythemia vera who are resistant to or intolerant of hydroxyurea</t>
        </is>
      </c>
      <c r="L26" t="inlineStr">
        <is>
          <t>Yes</t>
        </is>
      </c>
      <c r="M26" s="3">
        <v>42332</v>
      </c>
      <c r="N26" t="inlineStr">
        <is>
          <t>Novartis Pharmaceuticals Canada Inc.</t>
        </is>
      </c>
      <c r="O26" t="inlineStr">
        <is>
          <t>Novartis Pharmaceuticals Canada Inc.</t>
        </is>
      </c>
      <c r="P26" s="3">
        <v>42250</v>
      </c>
      <c r="Q26" t="inlineStr">
        <is>
          <t>New Indication</t>
        </is>
      </c>
      <c r="R26" t="inlineStr">
        <is>
          <t>Not Requested</t>
        </is>
      </c>
      <c r="T26" s="3">
        <v>42297</v>
      </c>
      <c r="U26" s="3">
        <v>42355</v>
      </c>
      <c r="X26" s="3">
        <v>42418</v>
      </c>
      <c r="Y26" s="3">
        <v>42447</v>
      </c>
    </row>
    <row r="27">
      <c r="A27" s="2">
        <f>HYPERLINK("https://www.cadth.ca/opdivo-non-small-cell-lung-cancer-details", "Opdivo")</f>
        <v>0</v>
      </c>
      <c r="B27" t="inlineStr">
        <is>
          <t>Nivolumab</t>
        </is>
      </c>
      <c r="C27" t="inlineStr">
        <is>
          <t>Lung Non-Small Cell Lung Cancer</t>
        </is>
      </c>
      <c r="E27" t="inlineStr">
        <is>
          <t>Notification to Implement Issued</t>
        </is>
      </c>
      <c r="F27" s="3">
        <v>42306</v>
      </c>
      <c r="G27" s="3">
        <v>42524</v>
      </c>
      <c r="H27" t="inlineStr">
        <is>
          <t>pCODR 10069</t>
        </is>
      </c>
      <c r="I27" t="inlineStr">
        <is>
          <t>40mg/4mL and 100mg/10mL vials</t>
        </is>
      </c>
      <c r="J27" t="inlineStr">
        <is>
          <t>Lung</t>
        </is>
      </c>
      <c r="K27" t="inlineStr">
        <is>
          <t>For the treatment of patients with advanced or metastatic non-small cell lung cancer who progressed on or after chemotherapy</t>
        </is>
      </c>
      <c r="L27" t="inlineStr">
        <is>
          <t>Yes</t>
        </is>
      </c>
      <c r="M27" s="3">
        <v>42426</v>
      </c>
      <c r="N27" t="inlineStr">
        <is>
          <t>Bristol-Myers Squibb Canada</t>
        </is>
      </c>
      <c r="O27" t="inlineStr">
        <is>
          <t>Bristol-Myers Squibb Canada</t>
        </is>
      </c>
      <c r="P27" s="3">
        <v>42313</v>
      </c>
      <c r="Q27" t="inlineStr">
        <is>
          <t>New Indication</t>
        </is>
      </c>
      <c r="R27" t="inlineStr">
        <is>
          <t>Requested and Granted</t>
        </is>
      </c>
      <c r="T27" s="3">
        <v>42374</v>
      </c>
      <c r="U27" s="3">
        <v>42446</v>
      </c>
      <c r="X27" s="3">
        <v>42509</v>
      </c>
      <c r="Y27" s="3">
        <v>42541</v>
      </c>
    </row>
    <row r="28">
      <c r="A28" s="2">
        <f>HYPERLINK("https://www.cadth.ca/adcetris-hodgkin-lymphoma-post-asct-consolidation-details", "Adcetris")</f>
        <v>0</v>
      </c>
      <c r="B28" t="inlineStr">
        <is>
          <t>Brentuximab vedotin</t>
        </is>
      </c>
      <c r="C28" t="inlineStr">
        <is>
          <t>Lymphoma Hodgkin Lymphoma (post-ASCT consolidation)</t>
        </is>
      </c>
      <c r="E28" t="inlineStr">
        <is>
          <t>Withdrawn</t>
        </is>
      </c>
      <c r="F28" s="3">
        <v>42465</v>
      </c>
      <c r="H28" t="inlineStr">
        <is>
          <t>pCODR 10086</t>
        </is>
      </c>
      <c r="J28" t="inlineStr">
        <is>
          <t>Lymphoma</t>
        </is>
      </c>
      <c r="K28" t="inlineStr">
        <is>
          <t>For post-ASCT consolidation treatment of patients with Hodgkin Lymphoma (HL) at high risk of relapse or progression</t>
        </is>
      </c>
      <c r="L28" t="inlineStr">
        <is>
          <t>Yes</t>
        </is>
      </c>
      <c r="N28" t="inlineStr">
        <is>
          <t>Seattle Genetics Inc.</t>
        </is>
      </c>
      <c r="O28" t="inlineStr">
        <is>
          <t>Seattle Genetics Inc.</t>
        </is>
      </c>
      <c r="P28" s="3">
        <v>42472</v>
      </c>
      <c r="Q28" t="inlineStr">
        <is>
          <t>New Indication</t>
        </is>
      </c>
      <c r="R28" t="inlineStr">
        <is>
          <t>Not Requested</t>
        </is>
      </c>
      <c r="T28" s="3">
        <v>42522</v>
      </c>
      <c r="Z28" t="inlineStr">
        <is>
          <t>Seattle Genetics Inc. has requested a voluntary withdrawal of the submission for brentuximab vedotin (Adcetris) for Hodgkin Lymphoma (post-ASCT consolidation) as the Category 2 submission requirements for a pre-NOC submission cannot be met at this time.  As per pCODR Procedures B3.1.6.2 b), the pCODR program has stopped the review. The pCODR Provincial Advisory Group has agreed with the manufacturer's request.</t>
        </is>
      </c>
    </row>
    <row r="29">
      <c r="A29" s="2">
        <f>HYPERLINK("https://www.cadth.ca/onivyde-metastatic-pancreatic-cancer-closed-details", "Onivyde")</f>
        <v>0</v>
      </c>
      <c r="B29" t="inlineStr">
        <is>
          <t>Nanoliposomal Irinotecan</t>
        </is>
      </c>
      <c r="C29" t="inlineStr">
        <is>
          <t>Gastrointestinal Metastatic Pancreatic Cancer</t>
        </is>
      </c>
      <c r="E29" t="inlineStr">
        <is>
          <t>File-Closed Not Submitted</t>
        </is>
      </c>
      <c r="H29" t="inlineStr">
        <is>
          <t>pCODR 10096</t>
        </is>
      </c>
      <c r="J29" t="inlineStr">
        <is>
          <t>Gastrointestinal</t>
        </is>
      </c>
      <c r="K29" t="inlineStr">
        <is>
          <t>For second-line treatment of metastatic adenocarcinoma of the pancreas in combination with 5-fluorouracil (5-FU) and leucovorin in adult patients who have been previously treated with gemcitabine-based therapy</t>
        </is>
      </c>
      <c r="L29" t="inlineStr">
        <is>
          <t>Yes</t>
        </is>
      </c>
      <c r="N29" t="inlineStr">
        <is>
          <t>Baxalta Canada Corporation</t>
        </is>
      </c>
      <c r="O29" t="inlineStr">
        <is>
          <t>Baxalta Canada Corporation</t>
        </is>
      </c>
      <c r="Q29" t="inlineStr">
        <is>
          <t>New Drug</t>
        </is>
      </c>
      <c r="Z29" t="inlineStr">
        <is>
          <t>The submitter notified pCODR that they will not be filing the submission.</t>
        </is>
      </c>
    </row>
    <row r="30">
      <c r="A30" s="2">
        <f>HYPERLINK("https://www.cadth.ca/ninlaro-multiple-myeloma-details", "Ninlaro")</f>
        <v>0</v>
      </c>
      <c r="B30" t="inlineStr">
        <is>
          <t>Ixazomib</t>
        </is>
      </c>
      <c r="C30" t="inlineStr">
        <is>
          <t>Myeloma Multiple Myeloma</t>
        </is>
      </c>
      <c r="E30" t="inlineStr">
        <is>
          <t>Notification to Implement Issued</t>
        </is>
      </c>
      <c r="F30" s="3">
        <v>42720</v>
      </c>
      <c r="G30" s="3">
        <v>42915</v>
      </c>
      <c r="H30" t="inlineStr">
        <is>
          <t>pCODR 10088</t>
        </is>
      </c>
      <c r="I30" t="inlineStr">
        <is>
          <t>4 mg, 3 mg, and 2.3 mg capsules</t>
        </is>
      </c>
      <c r="J30" t="inlineStr">
        <is>
          <t>Myeloma</t>
        </is>
      </c>
      <c r="K30" t="inlineStr">
        <is>
          <t>Adult patients with multiple myeloma who have received at least one prior therapy and have high-risk cytogenetics, or have received at least two prior therapies</t>
        </is>
      </c>
      <c r="L30" t="inlineStr">
        <is>
          <t>No</t>
        </is>
      </c>
      <c r="M30" s="3">
        <v>42586</v>
      </c>
      <c r="N30" t="inlineStr">
        <is>
          <t>Takeda Pharmaceutical Company Limited</t>
        </is>
      </c>
      <c r="O30" t="inlineStr">
        <is>
          <t>Takeda Pharmaceutical Company Limited</t>
        </is>
      </c>
      <c r="P30" s="3">
        <v>42755</v>
      </c>
      <c r="Q30" t="inlineStr">
        <is>
          <t>New Drug</t>
        </is>
      </c>
      <c r="R30" t="inlineStr">
        <is>
          <t>Not Requested</t>
        </is>
      </c>
      <c r="T30" s="3">
        <v>42788</v>
      </c>
      <c r="U30" s="3">
        <v>42845</v>
      </c>
      <c r="X30" s="3">
        <v>42902</v>
      </c>
      <c r="Y30" s="3">
        <v>42933</v>
      </c>
      <c r="Z30" t="inlineStr">
        <is>
          <t>Please note that the June pERC meeting was conducted over two days. The target  for the posting of pERC Initial Recommendation remains as June 29, 2017.</t>
        </is>
      </c>
    </row>
    <row r="31">
      <c r="A31" s="2">
        <f>HYPERLINK("https://www.cadth.ca/opdivo-squamous-cell-carcinoma-head-and-neck-scchn-details", "Opdivo")</f>
        <v>0</v>
      </c>
      <c r="B31" t="inlineStr">
        <is>
          <t>Nivolumab</t>
        </is>
      </c>
      <c r="C31" t="inlineStr">
        <is>
          <t>Head and Neck Squamous Cell Carcinoma of the Head and Neck (SCCHN)</t>
        </is>
      </c>
      <c r="E31" t="inlineStr">
        <is>
          <t>Notification to Implement Issued</t>
        </is>
      </c>
      <c r="F31" s="3">
        <v>42766</v>
      </c>
      <c r="G31" s="3">
        <v>42978</v>
      </c>
      <c r="H31" t="inlineStr">
        <is>
          <t>pCODR 10095</t>
        </is>
      </c>
      <c r="I31" t="inlineStr">
        <is>
          <t>40mg and 100mg single-use vials</t>
        </is>
      </c>
      <c r="J31" t="inlineStr">
        <is>
          <t>Head and Neck</t>
        </is>
      </c>
      <c r="K31" t="inlineStr">
        <is>
          <t>For the treatment of recurrent or metastatic squamous cell cancer of the head and neck (SCCHN) after platinum-based therapy in adults</t>
        </is>
      </c>
      <c r="L31" t="inlineStr">
        <is>
          <t>Yes</t>
        </is>
      </c>
      <c r="M31" s="3">
        <v>42867</v>
      </c>
      <c r="N31" t="inlineStr">
        <is>
          <t>Bristol-Myers Squibb Canada</t>
        </is>
      </c>
      <c r="O31" t="inlineStr">
        <is>
          <t>Bristol-Myers Squibb Canada</t>
        </is>
      </c>
      <c r="P31" s="3">
        <v>42779</v>
      </c>
      <c r="Q31" t="inlineStr">
        <is>
          <t>New Indication</t>
        </is>
      </c>
      <c r="R31" t="inlineStr">
        <is>
          <t>Requested and Granted</t>
        </is>
      </c>
      <c r="T31" s="3">
        <v>42830</v>
      </c>
      <c r="U31" s="3">
        <v>42901</v>
      </c>
      <c r="X31" s="3">
        <v>42964</v>
      </c>
      <c r="Y31" s="3">
        <v>42996</v>
      </c>
    </row>
    <row r="32">
      <c r="A32" s="2">
        <f>HYPERLINK("https://www.cadth.ca/vectibix-left-sided-metastatic-colorectal-cancer-details", "Vectibix")</f>
        <v>0</v>
      </c>
      <c r="B32" t="inlineStr">
        <is>
          <t>Panitumumab</t>
        </is>
      </c>
      <c r="C32" t="inlineStr">
        <is>
          <t>Gastrointestinal   Left Sided Metastatic Colorectal Cancer</t>
        </is>
      </c>
      <c r="E32" t="inlineStr">
        <is>
          <t>Notification to Implement Issued</t>
        </is>
      </c>
      <c r="F32" s="3">
        <v>42986</v>
      </c>
      <c r="G32" s="3">
        <v>43188</v>
      </c>
      <c r="H32" t="inlineStr">
        <is>
          <t>pCODR 10118</t>
        </is>
      </c>
      <c r="I32" t="inlineStr">
        <is>
          <t>20 mg/mL</t>
        </is>
      </c>
      <c r="J32" t="inlineStr">
        <is>
          <t>Gastrointestinal</t>
        </is>
      </c>
      <c r="K32" t="inlineStr">
        <is>
          <t>In combination with chemotherapy, for the first-line treatment of mCRC patients with left sided primary tumours that express wild-type RAS</t>
        </is>
      </c>
      <c r="L32" t="inlineStr">
        <is>
          <t>No</t>
        </is>
      </c>
      <c r="M32" s="3">
        <v>42247</v>
      </c>
      <c r="N32" t="inlineStr">
        <is>
          <t>Amgen Canada Inc.</t>
        </is>
      </c>
      <c r="O32" t="inlineStr">
        <is>
          <t>Amgen Canada Inc.</t>
        </is>
      </c>
      <c r="P32" s="3">
        <v>42993</v>
      </c>
      <c r="Q32" t="inlineStr">
        <is>
          <t>New Indication</t>
        </is>
      </c>
      <c r="R32" t="inlineStr">
        <is>
          <t>Not Requested</t>
        </is>
      </c>
      <c r="T32" s="3">
        <v>43038</v>
      </c>
      <c r="U32" s="3">
        <v>43118</v>
      </c>
      <c r="X32" s="3">
        <v>43174</v>
      </c>
      <c r="Y32" s="3">
        <v>43206</v>
      </c>
    </row>
    <row r="33">
      <c r="A33" s="2">
        <f>HYPERLINK("https://www.cadth.ca/cabozantinib-cabometyx-hepatocellular-carcinoma-details", "Cabometyx")</f>
        <v>0</v>
      </c>
      <c r="B33" t="inlineStr">
        <is>
          <t>Cabozantinib</t>
        </is>
      </c>
      <c r="C33" t="inlineStr">
        <is>
          <t>Gastrointestinal Hepatocellular Carcinoma</t>
        </is>
      </c>
      <c r="E33" t="inlineStr">
        <is>
          <t>Notification to Implement Issued</t>
        </is>
      </c>
      <c r="F33" s="3">
        <v>43754</v>
      </c>
      <c r="G33" s="3">
        <v>43943</v>
      </c>
      <c r="H33" t="inlineStr">
        <is>
          <t>pCODR 10186</t>
        </is>
      </c>
      <c r="I33" t="inlineStr">
        <is>
          <t>20 mg, 40 mg &amp; 60 mg</t>
        </is>
      </c>
      <c r="J33" t="inlineStr">
        <is>
          <t>Gastrointestinal</t>
        </is>
      </c>
      <c r="K33" t="inlineStr">
        <is>
          <t>For the treatment of Hepatocellular Carcinoma (HCC) in adults after prior therapy</t>
        </is>
      </c>
      <c r="L33" t="inlineStr">
        <is>
          <t>Yes</t>
        </is>
      </c>
      <c r="M33" s="3">
        <v>43777</v>
      </c>
      <c r="N33" t="inlineStr">
        <is>
          <t>Ipsen Biopharmaceuticals Canada Inc.</t>
        </is>
      </c>
      <c r="O33" t="inlineStr">
        <is>
          <t>Ipsen Biopharmaceuticals Canada Inc.</t>
        </is>
      </c>
      <c r="P33" s="3">
        <v>43768</v>
      </c>
      <c r="Q33" t="inlineStr">
        <is>
          <t>New Indication</t>
        </is>
      </c>
      <c r="T33" s="3">
        <v>43838</v>
      </c>
      <c r="U33" s="3">
        <v>43909</v>
      </c>
      <c r="Y33" s="3">
        <v>43958</v>
      </c>
    </row>
    <row r="34">
      <c r="A34" s="2">
        <f>HYPERLINK("https://www.cadth.ca/rituximab-non-hodgkins-lymphoma-and-chronic-lymphocytic-leukemia-details", "TBD")</f>
        <v>0</v>
      </c>
      <c r="B34" t="inlineStr">
        <is>
          <t>Rituximab</t>
        </is>
      </c>
      <c r="C34" t="inlineStr">
        <is>
          <t>Lymphoma &amp; Leukemia Non-Hodgkin’s Lymphoma  and Chronic Lymphocytic Leukemia Biosimilar</t>
        </is>
      </c>
      <c r="E34" t="inlineStr">
        <is>
          <t>File-Closed Not Submitted</t>
        </is>
      </c>
      <c r="H34" t="inlineStr">
        <is>
          <t>pCODR 10180</t>
        </is>
      </c>
      <c r="J34" t="inlineStr">
        <is>
          <t>Lymphoma &amp; Leukemia</t>
        </is>
      </c>
      <c r="K34" t="inlineStr">
        <is>
          <t>Non-Hodgkin’s Lymphoma  and Chronic Lymphocytic Leukemia</t>
        </is>
      </c>
      <c r="L34" t="inlineStr">
        <is>
          <t>Yes</t>
        </is>
      </c>
      <c r="N34" t="inlineStr">
        <is>
          <t>Sandoz Canada</t>
        </is>
      </c>
      <c r="O34" t="inlineStr">
        <is>
          <t>Sandoz Canada</t>
        </is>
      </c>
      <c r="Q34" t="inlineStr">
        <is>
          <t>Biosimilar – New Drug</t>
        </is>
      </c>
      <c r="Z34" t="inlineStr">
        <is>
          <t>The submitter notified pCODR that they will not be filing the submission.</t>
        </is>
      </c>
    </row>
    <row r="35">
      <c r="A35" s="2">
        <f>HYPERLINK("https://www.cadth.ca/gemtuzumab-ozogamicin-mylotarg-acute-myeloid-leukemia-details", "Mylotarg")</f>
        <v>0</v>
      </c>
      <c r="B35" t="inlineStr">
        <is>
          <t>Gemtuzumab Ozogamicin</t>
        </is>
      </c>
      <c r="C35" t="inlineStr">
        <is>
          <t>Leukemia Acute Myeloid Leukemia</t>
        </is>
      </c>
      <c r="E35" t="inlineStr">
        <is>
          <t>Notification to Implement Issued</t>
        </is>
      </c>
      <c r="F35" s="3">
        <v>43686</v>
      </c>
      <c r="G35" s="3">
        <v>43923</v>
      </c>
      <c r="H35" t="inlineStr">
        <is>
          <t>pCODR 10190</t>
        </is>
      </c>
      <c r="I35" t="inlineStr">
        <is>
          <t>4.5 mg/vial</t>
        </is>
      </c>
      <c r="J35" t="inlineStr">
        <is>
          <t>Leukemia</t>
        </is>
      </c>
      <c r="K35" t="inlineStr">
        <is>
          <t>In combination therapy with daunorubicin (DNR) and cytarabine (AraC) for the treatment of adult patients with previously untreated, de novo CD33-positive acute myeloid leukemia (AML), except acute promyelocytic leukemia</t>
        </is>
      </c>
      <c r="L35" t="inlineStr">
        <is>
          <t>Yes</t>
        </is>
      </c>
      <c r="M35" s="3">
        <v>43797</v>
      </c>
      <c r="N35" t="inlineStr">
        <is>
          <t>Pfizer Canada ULC</t>
        </is>
      </c>
      <c r="O35" t="inlineStr">
        <is>
          <t>Pfizer Canada ULC</t>
        </is>
      </c>
      <c r="P35" s="3">
        <v>43700</v>
      </c>
      <c r="Q35" t="inlineStr">
        <is>
          <t>New Drug</t>
        </is>
      </c>
      <c r="T35" s="3">
        <v>43767</v>
      </c>
      <c r="U35" s="3">
        <v>43846</v>
      </c>
      <c r="X35" s="3">
        <v>43909</v>
      </c>
      <c r="Y35" s="3">
        <v>43941</v>
      </c>
    </row>
    <row r="36">
      <c r="A36" s="2">
        <f>HYPERLINK("https://www.cadth.ca/ibrutinib-imbruvica-leukemia", "Imbruvica")</f>
        <v>0</v>
      </c>
      <c r="B36" t="inlineStr">
        <is>
          <t>Ibrutinib</t>
        </is>
      </c>
      <c r="C36" t="inlineStr">
        <is>
          <t>Leukemia In combination with rituximab for previously untreated Chronic Lymphocytic Leukemia (CLL)/Small Lymphocytic Leukemia (SLL); In combination with obinutuzumab for previously untreated Chronic Lymphocytic Leukemia (CLL)/Small Lymphocytic Leukemia (SLL)</t>
        </is>
      </c>
      <c r="E36" t="inlineStr">
        <is>
          <t>Not Filed</t>
        </is>
      </c>
      <c r="J36" t="inlineStr">
        <is>
          <t>Leukemia</t>
        </is>
      </c>
      <c r="N36" t="inlineStr">
        <is>
          <t>Janssen Canada Inc.</t>
        </is>
      </c>
      <c r="Q36" t="inlineStr">
        <is>
          <t>Non-Submission</t>
        </is>
      </c>
      <c r="Z36" t="inlineStr">
        <is>
          <t>CADTH is unable to recommend reimbursement of the relevant product because a submission to CADTH was not filed by the manufacturer.</t>
        </is>
      </c>
    </row>
    <row r="37">
      <c r="A37" s="2">
        <f>HYPERLINK("https://www.cadth.ca/kisqali-advanced-or-metastatic-breast-cancer-details", "Kisqali")</f>
        <v>0</v>
      </c>
      <c r="B37" t="inlineStr">
        <is>
          <t>Ribociclib</t>
        </is>
      </c>
      <c r="C37" t="inlineStr">
        <is>
          <t>Breast  Advanced or Metastatic Breast Cancer</t>
        </is>
      </c>
      <c r="E37" t="inlineStr">
        <is>
          <t>Notification to Implement Issued</t>
        </is>
      </c>
      <c r="F37" s="3">
        <v>43703</v>
      </c>
      <c r="G37" s="3">
        <v>43986</v>
      </c>
      <c r="H37" t="inlineStr">
        <is>
          <t>pCODR 10194</t>
        </is>
      </c>
      <c r="I37" t="inlineStr">
        <is>
          <t>200mg</t>
        </is>
      </c>
      <c r="J37" t="inlineStr">
        <is>
          <t>Breast</t>
        </is>
      </c>
      <c r="K37" t="inlineStr">
        <is>
          <t>In combination with an aromatase inhibitor (AI) and a luteinizing hormone releasing hormone (LHRH) agonist for the treatment of pre/peri- menopausal women with hormone receptor (HR)-positive, human epidermal growth factor receptor 2 (HER2)-negative advanced or metastatic breast cancer, as initial endocrine-based therapy</t>
        </is>
      </c>
      <c r="L37" t="inlineStr">
        <is>
          <t>Yes</t>
        </is>
      </c>
      <c r="M37" s="3">
        <v>43868</v>
      </c>
      <c r="N37" t="inlineStr">
        <is>
          <t>Novartis Pharmaceuticals Canada Inc.</t>
        </is>
      </c>
      <c r="O37" t="inlineStr">
        <is>
          <t>Novartis Pharmaceuticals Canada Inc.</t>
        </is>
      </c>
      <c r="P37" s="3">
        <v>43718</v>
      </c>
      <c r="Q37" t="inlineStr">
        <is>
          <t>New Indication</t>
        </is>
      </c>
      <c r="T37" s="3">
        <v>43787</v>
      </c>
      <c r="U37" s="3">
        <v>43909</v>
      </c>
      <c r="X37" s="3">
        <v>43972</v>
      </c>
      <c r="Y37" s="3">
        <v>44001</v>
      </c>
    </row>
    <row r="38">
      <c r="A38" s="2">
        <f>HYPERLINK("https://www.cadth.ca/sonidegib-odomzo-basal-cell-carcinoma-details", "Odomzo")</f>
        <v>0</v>
      </c>
      <c r="B38" t="inlineStr">
        <is>
          <t>Sonidegib</t>
        </is>
      </c>
      <c r="C38" t="inlineStr">
        <is>
          <t>Skin and Melanoma Basal Cell Carcinoma (BCC)</t>
        </is>
      </c>
      <c r="E38" t="inlineStr">
        <is>
          <t>Under Review</t>
        </is>
      </c>
      <c r="F38" s="3">
        <v>44001</v>
      </c>
      <c r="H38" t="inlineStr">
        <is>
          <t>pCODR 10215</t>
        </is>
      </c>
      <c r="J38" t="inlineStr">
        <is>
          <t>Skin and Melanoma</t>
        </is>
      </c>
      <c r="K38" t="inlineStr">
        <is>
          <t>For the treatment of adult patients with histologically confirmed locally advanced basal cell carcinoma (laBCC) that is not amenable to radiation therapy or curative surgery.</t>
        </is>
      </c>
      <c r="L38" t="inlineStr">
        <is>
          <t>Yes</t>
        </is>
      </c>
      <c r="N38" t="inlineStr">
        <is>
          <t>Sun Pharma Canada Inc.</t>
        </is>
      </c>
      <c r="O38" t="inlineStr">
        <is>
          <t>Sun Pharma Canada Inc.</t>
        </is>
      </c>
      <c r="P38" s="3">
        <v>44035</v>
      </c>
      <c r="Q38" t="inlineStr">
        <is>
          <t>New Drug</t>
        </is>
      </c>
      <c r="T38" s="3">
        <v>44089</v>
      </c>
      <c r="Z38" t="inlineStr">
        <is>
          <t>The Submitter notified pCODR that they will be unable to submit by their original target date and an updated target submission date has  been provided.</t>
        </is>
      </c>
    </row>
    <row r="39">
      <c r="A39" s="2">
        <f>HYPERLINK("https://www.cadth.ca/nivolumab-ipilimumab-non-small-cell-lung-cancer-details", "Opdivo in combination with Yervoy")</f>
        <v>0</v>
      </c>
      <c r="B39" t="inlineStr">
        <is>
          <t>Nivolumab in combination with Ipilimumab</t>
        </is>
      </c>
      <c r="C39" t="inlineStr">
        <is>
          <t>Lung Non-Small Cell Lung Cancer (NSCLC)</t>
        </is>
      </c>
      <c r="E39" t="inlineStr">
        <is>
          <t>Under Review</t>
        </is>
      </c>
      <c r="F39" s="3">
        <v>44005</v>
      </c>
      <c r="H39" t="inlineStr">
        <is>
          <t>pCODR 10218</t>
        </is>
      </c>
      <c r="I39" t="inlineStr">
        <is>
          <t>10 mg/mL</t>
        </is>
      </c>
      <c r="J39" t="inlineStr">
        <is>
          <t>Lung</t>
        </is>
      </c>
      <c r="K39" t="inlineStr">
        <is>
          <t>Nivolumab, in combination with ipilimumab and 2 cycles of platinum-based chemotherapy for the first-line treatment of patients with metastatic or recurrent NSCLC with no EGFR or ALK genomic tumor aberrations</t>
        </is>
      </c>
      <c r="L39" t="inlineStr">
        <is>
          <t>Yes</t>
        </is>
      </c>
      <c r="M39" s="3">
        <v>44049</v>
      </c>
      <c r="N39" t="inlineStr">
        <is>
          <t>Bristol-Myers Squibb</t>
        </is>
      </c>
      <c r="O39" t="inlineStr">
        <is>
          <t>Bristol-Myers Squibb</t>
        </is>
      </c>
      <c r="P39" s="3">
        <v>44020</v>
      </c>
      <c r="Q39" t="inlineStr">
        <is>
          <t>New Indication</t>
        </is>
      </c>
      <c r="T39" s="3">
        <v>44097</v>
      </c>
    </row>
    <row r="40">
      <c r="A40" s="2">
        <f>HYPERLINK("https://www.cadth.ca/trifluridine-tipiracil-lonsurf-gastric-cancer-details", "Lonsurf")</f>
        <v>0</v>
      </c>
      <c r="B40" t="inlineStr">
        <is>
          <t>Trifluridine-Tipiracil</t>
        </is>
      </c>
      <c r="C40" t="inlineStr">
        <is>
          <t>Gastrointestinal Gastric Cancer</t>
        </is>
      </c>
      <c r="E40" t="inlineStr">
        <is>
          <t>Notification to Implement Issued</t>
        </is>
      </c>
      <c r="F40" s="3">
        <v>43711</v>
      </c>
      <c r="G40" s="3">
        <v>43914</v>
      </c>
      <c r="H40" t="inlineStr">
        <is>
          <t>pCODR 10197</t>
        </is>
      </c>
      <c r="I40" t="inlineStr">
        <is>
          <t>15 mg / 6.14 mg and 20 mg / 8.19 mg</t>
        </is>
      </c>
      <c r="J40" t="inlineStr">
        <is>
          <t>Gastrointestinal</t>
        </is>
      </c>
      <c r="K40" t="inlineStr">
        <is>
          <t>For the treatment of adult patients with metastatic gastric cancer or adenocarcinoma of the gastroesophageal junction, who have been previously treated with at least two prior lines of chemotherapy including a fluoropyrimidine, a platinum, and either a taxane or irinotecan and if appropriate with HER2/neu-targeted therapy</t>
        </is>
      </c>
      <c r="L40" t="inlineStr">
        <is>
          <t>Yes</t>
        </is>
      </c>
      <c r="M40" s="3">
        <v>43788</v>
      </c>
      <c r="N40" t="inlineStr">
        <is>
          <t>Taiho Pharma Canada, Inc.</t>
        </is>
      </c>
      <c r="O40" t="inlineStr">
        <is>
          <t>Taiho Pharma Canada, Inc.</t>
        </is>
      </c>
      <c r="P40" s="3">
        <v>43725</v>
      </c>
      <c r="Q40" t="inlineStr">
        <is>
          <t>New Indication</t>
        </is>
      </c>
      <c r="T40" s="3">
        <v>43775</v>
      </c>
      <c r="U40" s="3">
        <v>43881</v>
      </c>
      <c r="Y40" s="3">
        <v>43929</v>
      </c>
    </row>
    <row r="41">
      <c r="A41" s="2">
        <f>HYPERLINK("https://www.cadth.ca/entrectinib-rozlytrek-ros1-positive-non-small-cell-lung-cancer", "Rozlytrek")</f>
        <v>0</v>
      </c>
      <c r="B41" t="inlineStr">
        <is>
          <t>Entrectinib</t>
        </is>
      </c>
      <c r="C41" t="inlineStr">
        <is>
          <t>Lung ROS1-positive Non-Small Cell Lung Cancer</t>
        </is>
      </c>
      <c r="E41" t="inlineStr">
        <is>
          <t>Under Review</t>
        </is>
      </c>
      <c r="F41" s="3">
        <v>43838</v>
      </c>
      <c r="H41" t="inlineStr">
        <is>
          <t>pCODR 10206</t>
        </is>
      </c>
      <c r="I41" t="inlineStr">
        <is>
          <t>100 mg and 200 mg</t>
        </is>
      </c>
      <c r="J41" t="inlineStr">
        <is>
          <t>Lung</t>
        </is>
      </c>
      <c r="K41" t="inlineStr">
        <is>
          <t>For the first-line treatment of adult patients with ROS1-positive locally advanced or metastatic non-small cell lung cancer</t>
        </is>
      </c>
      <c r="L41" t="inlineStr">
        <is>
          <t>Yes</t>
        </is>
      </c>
      <c r="M41" s="3">
        <v>43956</v>
      </c>
      <c r="N41" t="inlineStr">
        <is>
          <t>Hoffmann-La Roche Ltd.</t>
        </is>
      </c>
      <c r="O41" t="inlineStr">
        <is>
          <t>Hoffmann-La Roche Ltd.</t>
        </is>
      </c>
      <c r="P41" s="3">
        <v>43852</v>
      </c>
      <c r="Q41" t="inlineStr">
        <is>
          <t>New Indication</t>
        </is>
      </c>
      <c r="T41" s="3">
        <v>43915</v>
      </c>
    </row>
    <row r="42">
      <c r="A42" s="2">
        <f>HYPERLINK("https://www.cadth.ca/acalabrutinib-calquence-chronic-lymphocytic-leukemia-details", "Calquence")</f>
        <v>0</v>
      </c>
      <c r="B42" t="inlineStr">
        <is>
          <t>Acalabrutinib</t>
        </is>
      </c>
      <c r="C42" t="inlineStr">
        <is>
          <t>Leukemia Chronic Lymphocytic Leukemia (CLL)</t>
        </is>
      </c>
      <c r="E42" t="inlineStr">
        <is>
          <t>Open for Feedback on Recommendation</t>
        </is>
      </c>
      <c r="F42" s="3">
        <v>43928</v>
      </c>
      <c r="H42" t="inlineStr">
        <is>
          <t>pCODR 10211</t>
        </is>
      </c>
      <c r="I42" t="inlineStr">
        <is>
          <t>100 mg</t>
        </is>
      </c>
      <c r="J42" t="inlineStr">
        <is>
          <t>Leukemia</t>
        </is>
      </c>
      <c r="K42" t="inlineStr">
        <is>
          <t>As monotherapy for the treatment of patients with chronic lymphocytic leukemia (CLL) who have received at least one prior therapy.</t>
        </is>
      </c>
      <c r="L42" t="inlineStr">
        <is>
          <t>No</t>
        </is>
      </c>
      <c r="M42" s="3">
        <v>43797</v>
      </c>
      <c r="N42" t="inlineStr">
        <is>
          <t>AstraZeneca Canada Inc.</t>
        </is>
      </c>
      <c r="O42" t="inlineStr">
        <is>
          <t>AstraZeneca Canada Inc.</t>
        </is>
      </c>
      <c r="P42" s="3">
        <v>43964</v>
      </c>
      <c r="Q42" t="inlineStr">
        <is>
          <t>New Drug</t>
        </is>
      </c>
      <c r="T42" s="3">
        <v>44032</v>
      </c>
      <c r="U42" s="3">
        <v>44119</v>
      </c>
    </row>
    <row r="43">
      <c r="A43" s="2">
        <f>HYPERLINK("https://www.cadth.ca/bosulif-chronic-myeloid-leukemia-details", "Bosulif")</f>
        <v>0</v>
      </c>
      <c r="B43" t="inlineStr">
        <is>
          <t>Bosutinib</t>
        </is>
      </c>
      <c r="C43" t="inlineStr">
        <is>
          <t>Leukemia Chronic Myeloid Leukemia</t>
        </is>
      </c>
      <c r="E43" t="inlineStr">
        <is>
          <t>Notification to Implement Issued</t>
        </is>
      </c>
      <c r="F43" s="3">
        <v>41789</v>
      </c>
      <c r="G43" s="3">
        <v>42115</v>
      </c>
      <c r="H43" t="inlineStr">
        <is>
          <t>pCODR 10039</t>
        </is>
      </c>
      <c r="I43" t="inlineStr">
        <is>
          <t>100 mg and 500mg tablets</t>
        </is>
      </c>
      <c r="J43" t="inlineStr">
        <is>
          <t>Leukemia</t>
        </is>
      </c>
      <c r="K43" t="inlineStr">
        <is>
          <t>For the treatment of chronic, accelerated, or blast phase Philadelphia chromosome-positive (Ph+) chronic myelogenous leukemia (CML) in adult patients with resistance or intolerance to prior TKI therapy, and for whom subsequent treatment with imatinib, nilotinib and dasatinib is not clinically appropriate.</t>
        </is>
      </c>
      <c r="L43" t="inlineStr">
        <is>
          <t>No</t>
        </is>
      </c>
      <c r="M43" s="3">
        <v>41705</v>
      </c>
      <c r="N43" t="inlineStr">
        <is>
          <t>Pfizer Canada Inc.</t>
        </is>
      </c>
      <c r="O43" t="inlineStr">
        <is>
          <t>Pfizer Canada Inc.</t>
        </is>
      </c>
      <c r="P43" s="3">
        <v>41820</v>
      </c>
      <c r="Q43" t="inlineStr">
        <is>
          <t>New Drug</t>
        </is>
      </c>
      <c r="R43" t="inlineStr">
        <is>
          <t>No</t>
        </is>
      </c>
      <c r="T43" s="3">
        <v>41864</v>
      </c>
      <c r="U43" s="3">
        <v>42082</v>
      </c>
      <c r="Y43" s="3">
        <v>42130</v>
      </c>
      <c r="Z43" t="inlineStr">
        <is>
          <t>Time required for the submitter to provide additional information has impacted the review timeline.</t>
        </is>
      </c>
    </row>
    <row r="44">
      <c r="A44" s="2">
        <f>HYPERLINK("https://www.cadth.ca/halaven-metastatic-breast-cancer-details", "Halaven")</f>
        <v>0</v>
      </c>
      <c r="B44" t="inlineStr">
        <is>
          <t>Eribulin Mesylate</t>
        </is>
      </c>
      <c r="C44" t="inlineStr">
        <is>
          <t>Breast Metastatic Breast Cancer</t>
        </is>
      </c>
      <c r="E44" t="inlineStr">
        <is>
          <t>Notification to Implement Issued</t>
        </is>
      </c>
      <c r="F44" s="3">
        <v>40948</v>
      </c>
      <c r="G44" s="3">
        <v>41123</v>
      </c>
      <c r="H44" t="inlineStr">
        <is>
          <t>pCODR 10005</t>
        </is>
      </c>
      <c r="I44" t="inlineStr">
        <is>
          <t>1mg per 2 mL vial</t>
        </is>
      </c>
      <c r="J44" t="inlineStr">
        <is>
          <t>Breast</t>
        </is>
      </c>
      <c r="L44" t="inlineStr">
        <is>
          <t>No</t>
        </is>
      </c>
      <c r="M44" s="3">
        <v>40891</v>
      </c>
      <c r="N44" t="inlineStr">
        <is>
          <t>Eisai Ltd.</t>
        </is>
      </c>
      <c r="O44" t="inlineStr">
        <is>
          <t>Eisai Ltd.</t>
        </is>
      </c>
      <c r="P44" s="3">
        <v>40955</v>
      </c>
      <c r="Q44" t="inlineStr">
        <is>
          <t>New Drug</t>
        </is>
      </c>
      <c r="R44" t="inlineStr">
        <is>
          <t>Not Requested</t>
        </is>
      </c>
      <c r="T44" s="3">
        <v>40996</v>
      </c>
      <c r="U44" s="3">
        <v>41046</v>
      </c>
      <c r="X44" s="3">
        <v>41109</v>
      </c>
      <c r="Y44" s="3">
        <v>41141</v>
      </c>
    </row>
    <row r="45">
      <c r="A45" s="2">
        <f>HYPERLINK("https://www.cadth.ca/perjeta-metastatic-breast-cancer-details", "Perjeta Herceptin Combo Pack")</f>
        <v>0</v>
      </c>
      <c r="B45" t="inlineStr">
        <is>
          <t>Pertuzumab</t>
        </is>
      </c>
      <c r="C45" t="inlineStr">
        <is>
          <t>Breast Metastatic Breast Cancer</t>
        </is>
      </c>
      <c r="E45" t="inlineStr">
        <is>
          <t>Notification to Implement Issued</t>
        </is>
      </c>
      <c r="F45" s="3">
        <v>41215</v>
      </c>
      <c r="G45" s="3">
        <v>41487</v>
      </c>
      <c r="H45" t="inlineStr">
        <is>
          <t>pCODR 10018</t>
        </is>
      </c>
      <c r="I45" t="inlineStr">
        <is>
          <t>420 mg/vial</t>
        </is>
      </c>
      <c r="J45" t="inlineStr">
        <is>
          <t>Breast</t>
        </is>
      </c>
      <c r="K45" t="inlineStr">
        <is>
          <t>In combination with trastuzumab and a taxane for the treatment of patients with HER2-positive metastatic breast cancer who have not received prior anti-HER2 therapy or chemotherapy for metastatic disease</t>
        </is>
      </c>
      <c r="L45" t="inlineStr">
        <is>
          <t>Yes</t>
        </is>
      </c>
      <c r="M45" s="3">
        <v>41376</v>
      </c>
      <c r="N45" t="inlineStr">
        <is>
          <t>Hoffmann-La Roche Limited</t>
        </is>
      </c>
      <c r="O45" t="inlineStr">
        <is>
          <t>Hoffmann-La Roche Limited</t>
        </is>
      </c>
      <c r="P45" s="3">
        <v>41235</v>
      </c>
      <c r="Q45" t="inlineStr">
        <is>
          <t>New Drug</t>
        </is>
      </c>
      <c r="R45" t="inlineStr">
        <is>
          <t>Not Requested</t>
        </is>
      </c>
      <c r="T45" s="3">
        <v>41290</v>
      </c>
      <c r="U45" s="3">
        <v>41410</v>
      </c>
      <c r="X45" s="3">
        <v>41473</v>
      </c>
      <c r="Y45" s="3">
        <v>41505</v>
      </c>
      <c r="Z45" t="inlineStr">
        <is>
          <t>A delay in the receipt of marketing authorization (NOC) from Health Canada has impacted the review timeline.</t>
        </is>
      </c>
    </row>
    <row r="46">
      <c r="A46" s="2">
        <f>HYPERLINK("https://www.cadth.ca/stivarga-metastatic-colorectal-cancer-details", "Stivarga (CRC)")</f>
        <v>0</v>
      </c>
      <c r="B46" t="inlineStr">
        <is>
          <t>Regorafenib</t>
        </is>
      </c>
      <c r="C46" t="inlineStr">
        <is>
          <t>Gastrointestinal Metastatic Colorectal Cancer</t>
        </is>
      </c>
      <c r="E46" t="inlineStr">
        <is>
          <t>Notification to Implement Issued</t>
        </is>
      </c>
      <c r="F46" s="3">
        <v>41355</v>
      </c>
      <c r="G46" s="3">
        <v>41593</v>
      </c>
      <c r="H46" t="inlineStr">
        <is>
          <t>pCODR 10026</t>
        </is>
      </c>
      <c r="I46" t="inlineStr">
        <is>
          <t>40 mg tablets</t>
        </is>
      </c>
      <c r="J46" t="inlineStr">
        <is>
          <t>Gastrointestinal</t>
        </is>
      </c>
      <c r="K46" t="inlineStr">
        <is>
          <t>The treatment of patients with metastatic colorectal cancer (CRC) who have been previously treated with fluoropyrimidine-based chemotherapy, oxaliplatin, irinotecan, an anti-VEGF therapy, and, if KRAS wild type, an anti-EGFR therapy</t>
        </is>
      </c>
      <c r="L46" t="inlineStr">
        <is>
          <t>No</t>
        </is>
      </c>
      <c r="M46" s="3">
        <v>41344</v>
      </c>
      <c r="N46" t="inlineStr">
        <is>
          <t>Bayer Inc.</t>
        </is>
      </c>
      <c r="O46" t="inlineStr">
        <is>
          <t>Bayer Inc.</t>
        </is>
      </c>
      <c r="P46" s="3">
        <v>41372</v>
      </c>
      <c r="Q46" t="inlineStr">
        <is>
          <t>New Drug</t>
        </is>
      </c>
      <c r="R46" t="inlineStr">
        <is>
          <t>Not Requested</t>
        </is>
      </c>
      <c r="T46" s="3">
        <v>41458</v>
      </c>
      <c r="U46" s="3">
        <v>41501</v>
      </c>
      <c r="X46" s="3">
        <v>41578</v>
      </c>
      <c r="Y46" s="3">
        <v>41610</v>
      </c>
    </row>
    <row r="47">
      <c r="A47" s="2">
        <f>HYPERLINK("https://www.cadth.ca/treanda-chronic-lymphocytic-leukemia-relapsed-refractory", "Treanda")</f>
        <v>0</v>
      </c>
      <c r="B47" t="inlineStr">
        <is>
          <t>Bendamustine hydrochloride</t>
        </is>
      </c>
      <c r="C47" t="inlineStr">
        <is>
          <t>Leukemia Chronic lymphocytic leukemia (Relapsed/ Refractory)</t>
        </is>
      </c>
      <c r="E47" t="inlineStr">
        <is>
          <t>Notification to Implement Issued</t>
        </is>
      </c>
      <c r="F47" s="3">
        <v>41023</v>
      </c>
      <c r="G47" s="3">
        <v>41242</v>
      </c>
      <c r="H47" t="inlineStr">
        <is>
          <t>pCODR 10011</t>
        </is>
      </c>
      <c r="I47" t="inlineStr">
        <is>
          <t>25mg/vial and 100mg/vial</t>
        </is>
      </c>
      <c r="J47" t="inlineStr">
        <is>
          <t>Leukemia</t>
        </is>
      </c>
      <c r="K47" t="inlineStr">
        <is>
          <t>Patients with Chronic Lymphocytic Leukemia (relapsed/refractory) for whom fludarabine-based therapy is not appropriate</t>
        </is>
      </c>
      <c r="L47" t="inlineStr">
        <is>
          <t>Yes</t>
        </is>
      </c>
      <c r="M47" s="3">
        <v>41145</v>
      </c>
      <c r="N47" t="inlineStr">
        <is>
          <t>Lundbeck Canada Inc.</t>
        </is>
      </c>
      <c r="O47" t="inlineStr">
        <is>
          <t>Lundbeck Canada Inc.</t>
        </is>
      </c>
      <c r="P47" s="3">
        <v>41030</v>
      </c>
      <c r="Q47" t="inlineStr">
        <is>
          <t>New Drug</t>
        </is>
      </c>
      <c r="R47" t="inlineStr">
        <is>
          <t>Not Requested</t>
        </is>
      </c>
      <c r="T47" s="3">
        <v>41087</v>
      </c>
      <c r="U47" s="3">
        <v>41172</v>
      </c>
      <c r="X47" s="3">
        <v>41228</v>
      </c>
      <c r="Y47" s="3">
        <v>41257</v>
      </c>
      <c r="Z47" t="inlineStr">
        <is>
          <t>As per pCODR Procedures B5.4, the pERC deliberations for Bendamustine (Treanda) First Line treatment of patients with CLL was deferred to the January 17, 2013 pERC meeting date, once the submitter provided the requested additional economic information. Please see the Bendamustine (Treanda) for Chronic Lymphocytic Leukemia (First Line) Details page for more information.</t>
        </is>
      </c>
    </row>
    <row r="48">
      <c r="A48" s="2">
        <f>HYPERLINK("https://www.cadth.ca/velcade-multiple-myeloma-details", "Velcade")</f>
        <v>0</v>
      </c>
      <c r="B48" t="inlineStr">
        <is>
          <t>Bortezomib</t>
        </is>
      </c>
      <c r="C48" t="inlineStr">
        <is>
          <t>Myeloma Multiple Myeloma</t>
        </is>
      </c>
      <c r="E48" t="inlineStr">
        <is>
          <t>Notification to Implement Issued</t>
        </is>
      </c>
      <c r="F48" s="3">
        <v>41211</v>
      </c>
      <c r="G48" s="3">
        <v>41358</v>
      </c>
      <c r="H48" t="inlineStr">
        <is>
          <t>pCODR 10016</t>
        </is>
      </c>
      <c r="I48" t="inlineStr">
        <is>
          <t>3.5mg/vial</t>
        </is>
      </c>
      <c r="J48" t="inlineStr">
        <is>
          <t>Myeloma</t>
        </is>
      </c>
      <c r="K48" t="inlineStr">
        <is>
          <t>For the treatment of patients with multiple myeloma pre-autologous stem cell transplantation in combination therapy and post-autologous stem cell transplantation as monotherapy</t>
        </is>
      </c>
      <c r="L48" t="inlineStr">
        <is>
          <t>Yes</t>
        </is>
      </c>
      <c r="M48" s="3" t="inlineStr">
        <is>
          <t>N/A</t>
        </is>
      </c>
      <c r="N48" t="inlineStr">
        <is>
          <t>Janssen</t>
        </is>
      </c>
      <c r="O48" t="inlineStr">
        <is>
          <t>Cancer Care Ontario Hematology Disease Site Group</t>
        </is>
      </c>
      <c r="P48" s="3">
        <v>41218</v>
      </c>
      <c r="Q48" t="inlineStr">
        <is>
          <t>New Indication</t>
        </is>
      </c>
      <c r="R48" t="inlineStr">
        <is>
          <t>Not Requested</t>
        </is>
      </c>
      <c r="T48" s="3">
        <v>41261</v>
      </c>
      <c r="U48" s="3">
        <v>41326</v>
      </c>
      <c r="Y48" s="3">
        <v>41375</v>
      </c>
    </row>
    <row r="49">
      <c r="A49" s="2">
        <f>HYPERLINK("https://www.cadth.ca/votrient-metastatic-renal-cell-carcinoma-resubmission-details", "Votrient")</f>
        <v>0</v>
      </c>
      <c r="B49" t="inlineStr">
        <is>
          <t>Pazopanib hydrochloride</t>
        </is>
      </c>
      <c r="C49" t="inlineStr">
        <is>
          <t>Genitourinary Metastatic Renal Cell Carcinoma</t>
        </is>
      </c>
      <c r="E49" t="inlineStr">
        <is>
          <t>Notification to Implement Issued Original Submission Complete</t>
        </is>
      </c>
      <c r="F49" s="3">
        <v>41325</v>
      </c>
      <c r="G49" s="3">
        <v>41515</v>
      </c>
      <c r="H49" t="inlineStr">
        <is>
          <t>pCODR 10022</t>
        </is>
      </c>
      <c r="I49" t="inlineStr">
        <is>
          <t>200 mg</t>
        </is>
      </c>
      <c r="J49" t="inlineStr">
        <is>
          <t>Genitourinary</t>
        </is>
      </c>
      <c r="K49" t="inlineStr">
        <is>
          <t>First-line therapy in patients with metastatic renal cell (clear cell) carcinoma with good performance status (ECOG 0-1)</t>
        </is>
      </c>
      <c r="L49" t="inlineStr">
        <is>
          <t>No</t>
        </is>
      </c>
      <c r="M49" s="3">
        <v>40325</v>
      </c>
      <c r="N49" t="inlineStr">
        <is>
          <t>GlaxoSmithKline Inc.</t>
        </is>
      </c>
      <c r="O49" t="inlineStr">
        <is>
          <t>GlaxoSmithKline Inc.</t>
        </is>
      </c>
      <c r="P49" s="3">
        <v>41339</v>
      </c>
      <c r="Q49" t="inlineStr">
        <is>
          <t>Resubmission</t>
        </is>
      </c>
      <c r="R49" t="inlineStr">
        <is>
          <t>Not Requested</t>
        </is>
      </c>
      <c r="T49" s="3">
        <v>41388</v>
      </c>
      <c r="U49" s="3">
        <v>41445</v>
      </c>
      <c r="X49" s="3">
        <v>41501</v>
      </c>
      <c r="Y49" s="3">
        <v>41533</v>
      </c>
    </row>
    <row r="50">
      <c r="A50" s="2">
        <f>HYPERLINK("https://www.cadth.ca/xtandi-first-line-mcrpc-details", "Xtandi")</f>
        <v>0</v>
      </c>
      <c r="B50" t="inlineStr">
        <is>
          <t>Enzalutamide</t>
        </is>
      </c>
      <c r="C50" t="inlineStr">
        <is>
          <t>Genitourinary First Line Metastatic Castration-Resistant Prostate Cancer</t>
        </is>
      </c>
      <c r="E50" t="inlineStr">
        <is>
          <t>Notification to Implement Issued</t>
        </is>
      </c>
      <c r="F50" s="3">
        <v>41914</v>
      </c>
      <c r="G50" s="3">
        <v>42177</v>
      </c>
      <c r="H50" t="inlineStr">
        <is>
          <t>pCODR 10044</t>
        </is>
      </c>
      <c r="I50" t="inlineStr">
        <is>
          <t>40mg capsule</t>
        </is>
      </c>
      <c r="J50" t="inlineStr">
        <is>
          <t>Genitourinary</t>
        </is>
      </c>
      <c r="K50" t="inlineStr">
        <is>
          <t>Treatment of patients with metastatic castration-resistant prostrate cancer (mCRPC) who are asymptomatic or mildly symptomatic after failure of androgen deprivation therapy who have not received prior chemotherapy</t>
        </is>
      </c>
      <c r="L50" t="inlineStr">
        <is>
          <t>Yes</t>
        </is>
      </c>
      <c r="M50" s="3">
        <v>42109</v>
      </c>
      <c r="N50" t="inlineStr">
        <is>
          <t>Astellas Pharma Canada, Inc.</t>
        </is>
      </c>
      <c r="O50" t="inlineStr">
        <is>
          <t>Astellas Pharma Canada, Inc.</t>
        </is>
      </c>
      <c r="P50" s="3">
        <v>41921</v>
      </c>
      <c r="Q50" t="inlineStr">
        <is>
          <t>New Indication</t>
        </is>
      </c>
      <c r="R50" t="inlineStr">
        <is>
          <t>Requested and Not Granted</t>
        </is>
      </c>
      <c r="T50" s="3">
        <v>42037</v>
      </c>
      <c r="U50" s="3">
        <v>42145</v>
      </c>
      <c r="Y50" s="3">
        <v>42193</v>
      </c>
      <c r="Z50" t="inlineStr">
        <is>
          <t>The Manufacturer had advised that Category 2 submission requirements for a pre-NOC submission were not available to complete the submission for an April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is>
      </c>
    </row>
    <row r="51">
      <c r="A51" s="2">
        <f>HYPERLINK("https://www.cadth.ca/avastin-cervical-cancer-details", "Avastin")</f>
        <v>0</v>
      </c>
      <c r="B51" t="inlineStr">
        <is>
          <t>Bevacizumab</t>
        </is>
      </c>
      <c r="C51" t="inlineStr">
        <is>
          <t>Gynecology Cervical Cancer</t>
        </is>
      </c>
      <c r="E51" t="inlineStr">
        <is>
          <t>Notification to Implement Issued</t>
        </is>
      </c>
      <c r="F51" s="3">
        <v>41939</v>
      </c>
      <c r="G51" s="3">
        <v>42086</v>
      </c>
      <c r="H51" t="inlineStr">
        <is>
          <t>pCODR 10045</t>
        </is>
      </c>
      <c r="I51" t="inlineStr">
        <is>
          <t>25mg/mL</t>
        </is>
      </c>
      <c r="J51" t="inlineStr">
        <is>
          <t>Gynecology</t>
        </is>
      </c>
      <c r="K51" t="inlineStr">
        <is>
          <t>In combination with chemotherapy for the treatment of patients with persistent, recurrent, or metastatic carcinoma of the cervix</t>
        </is>
      </c>
      <c r="L51" t="inlineStr">
        <is>
          <t>Yes</t>
        </is>
      </c>
      <c r="M51" s="3" t="inlineStr">
        <is>
          <t>N/A</t>
        </is>
      </c>
      <c r="N51" t="inlineStr">
        <is>
          <t>Hoffmann-La Roche Limited</t>
        </is>
      </c>
      <c r="O51" t="inlineStr">
        <is>
          <t>Hoffmann-La Roche Limited</t>
        </is>
      </c>
      <c r="P51" s="3">
        <v>41946</v>
      </c>
      <c r="Q51" t="inlineStr">
        <is>
          <t>New Indication</t>
        </is>
      </c>
      <c r="R51" t="inlineStr">
        <is>
          <t>Requested and Not Granted</t>
        </is>
      </c>
      <c r="T51" s="3">
        <v>41989</v>
      </c>
      <c r="U51" s="3">
        <v>42054</v>
      </c>
      <c r="Y51" s="3">
        <v>42102</v>
      </c>
    </row>
    <row r="52">
      <c r="A52" s="2">
        <f>HYPERLINK("https://www.cadth.ca/adcetris-hodgkin-lymphoma-details", "Adcetris")</f>
        <v>0</v>
      </c>
      <c r="B52" t="inlineStr">
        <is>
          <t>Brentuximab vedotin</t>
        </is>
      </c>
      <c r="C52" t="inlineStr">
        <is>
          <t>Lymphoma Hodgkin Lymphoma</t>
        </is>
      </c>
      <c r="E52" t="inlineStr">
        <is>
          <t>Notification to Implement Issued</t>
        </is>
      </c>
      <c r="F52" s="3">
        <v>41347</v>
      </c>
      <c r="G52" s="3">
        <v>41515</v>
      </c>
      <c r="H52" t="inlineStr">
        <is>
          <t>pCODR 10020</t>
        </is>
      </c>
      <c r="I52" t="inlineStr">
        <is>
          <t>50 mg/vial</t>
        </is>
      </c>
      <c r="J52" t="inlineStr">
        <is>
          <t>Lymphoma</t>
        </is>
      </c>
      <c r="K52" t="inlineStr">
        <is>
          <t>For HL patients after failure of ASCT or after failure of at least two prior therapies in patients who are not ASCT candidates</t>
        </is>
      </c>
      <c r="L52" t="inlineStr">
        <is>
          <t>No</t>
        </is>
      </c>
      <c r="M52" s="3">
        <v>41306</v>
      </c>
      <c r="N52" t="inlineStr">
        <is>
          <t>Seattle Genetics, Inc.</t>
        </is>
      </c>
      <c r="O52" t="inlineStr">
        <is>
          <t>Seattle Genetics, Inc.</t>
        </is>
      </c>
      <c r="P52" s="3">
        <v>41354</v>
      </c>
      <c r="Q52" t="inlineStr">
        <is>
          <t>New Drug</t>
        </is>
      </c>
      <c r="R52" t="inlineStr">
        <is>
          <t>Not Requested</t>
        </is>
      </c>
      <c r="T52" s="3">
        <v>41402</v>
      </c>
      <c r="U52" s="3">
        <v>41445</v>
      </c>
      <c r="X52" s="3">
        <v>41501</v>
      </c>
      <c r="Y52" s="3">
        <v>41533</v>
      </c>
    </row>
    <row r="53">
      <c r="A53" s="2">
        <f>HYPERLINK("https://www.cadth.ca/avastin-capecitabine-metastatic-colorectal-cancer-details", "Avastin (with capecitabine)")</f>
        <v>0</v>
      </c>
      <c r="B53" t="inlineStr">
        <is>
          <t>Bevacizumab</t>
        </is>
      </c>
      <c r="C53" t="inlineStr">
        <is>
          <t>Gastrointestinal Metastatic Colorectal Cancer</t>
        </is>
      </c>
      <c r="E53" t="inlineStr">
        <is>
          <t>Notification to Implement Issued</t>
        </is>
      </c>
      <c r="F53" s="3">
        <v>42053</v>
      </c>
      <c r="G53" s="3">
        <v>42206</v>
      </c>
      <c r="H53" t="inlineStr">
        <is>
          <t>pCODR 10055</t>
        </is>
      </c>
      <c r="I53" t="inlineStr">
        <is>
          <t>25 mg/mL</t>
        </is>
      </c>
      <c r="J53" t="inlineStr">
        <is>
          <t>Gastrointestinal</t>
        </is>
      </c>
      <c r="K53" t="inlineStr">
        <is>
          <t>In combination with capecitabine, for the first-line treatment of advanced or metastatic colorectal cancer (CRC) for patients who are not suitable for oxaliplatin or irinotecan-based therapy</t>
        </is>
      </c>
      <c r="L53" t="inlineStr">
        <is>
          <t>No</t>
        </is>
      </c>
      <c r="M53" s="3">
        <v>38600</v>
      </c>
      <c r="N53" t="inlineStr">
        <is>
          <t>Hoffmann-La Roche Limited</t>
        </is>
      </c>
      <c r="O53" t="inlineStr">
        <is>
          <t>Cancer Care Ontario Gastrointestinal Disease Site Group</t>
        </is>
      </c>
      <c r="P53" s="3">
        <v>42060</v>
      </c>
      <c r="Q53" t="inlineStr">
        <is>
          <t>New Indication</t>
        </is>
      </c>
      <c r="R53" t="inlineStr">
        <is>
          <t>Not Requested</t>
        </is>
      </c>
      <c r="T53" s="3">
        <v>42114</v>
      </c>
      <c r="U53" s="3">
        <v>42173</v>
      </c>
      <c r="Y53" s="3">
        <v>42222</v>
      </c>
    </row>
    <row r="54">
      <c r="A54" s="2">
        <f>HYPERLINK("https://www.cadth.ca/vectibix-mcrc-details", "Vectibix")</f>
        <v>0</v>
      </c>
      <c r="B54" t="inlineStr">
        <is>
          <t>Panitumumab</t>
        </is>
      </c>
      <c r="C54" t="inlineStr">
        <is>
          <t>Gastrointestinal Metastatic Colorectal Cancer</t>
        </is>
      </c>
      <c r="E54" t="inlineStr">
        <is>
          <t>Notification to Implement Issued</t>
        </is>
      </c>
      <c r="F54" s="3">
        <v>42109</v>
      </c>
      <c r="G54" s="3">
        <v>42341</v>
      </c>
      <c r="H54" t="inlineStr">
        <is>
          <t>pCODR 10060</t>
        </is>
      </c>
      <c r="I54" t="inlineStr">
        <is>
          <t>20mg/mL (100mg vial)</t>
        </is>
      </c>
      <c r="J54" t="inlineStr">
        <is>
          <t>Gastrointestinal</t>
        </is>
      </c>
      <c r="K54" t="inlineStr">
        <is>
          <t>For the treatment of patients with WT RAS mCRC in first line treatment setting in combination with FOLFOX</t>
        </is>
      </c>
      <c r="L54" t="inlineStr">
        <is>
          <t>Yes</t>
        </is>
      </c>
      <c r="M54" s="3">
        <v>42247</v>
      </c>
      <c r="N54" t="inlineStr">
        <is>
          <t>Amgen Canada Inc.</t>
        </is>
      </c>
      <c r="O54" t="inlineStr">
        <is>
          <t>Amgen Canada Inc.</t>
        </is>
      </c>
      <c r="P54" s="3">
        <v>42116</v>
      </c>
      <c r="Q54" t="inlineStr">
        <is>
          <t>New Indication</t>
        </is>
      </c>
      <c r="R54" t="inlineStr">
        <is>
          <t>Not Requested</t>
        </is>
      </c>
      <c r="T54" s="3">
        <v>42191</v>
      </c>
      <c r="U54" s="3">
        <v>42264</v>
      </c>
      <c r="X54" s="3">
        <v>42327</v>
      </c>
      <c r="Y54" s="3">
        <v>42356</v>
      </c>
    </row>
    <row r="55">
      <c r="A55" s="2">
        <f>HYPERLINK("https://www.cadth.ca/lutathera-gastroenteropancreatic-neuroendocrine-tumors-details", "Lutathera")</f>
        <v>0</v>
      </c>
      <c r="B55" t="inlineStr">
        <is>
          <t>Lutetium Lu 177 dotatate</t>
        </is>
      </c>
      <c r="C55" t="inlineStr">
        <is>
          <t>Gastrointestinal Gastroenteropancreatic neuroendocrine tumors (GEP-NETs)</t>
        </is>
      </c>
      <c r="E55" t="inlineStr">
        <is>
          <t>Notification to Implement Issued</t>
        </is>
      </c>
      <c r="F55" s="3">
        <v>43311</v>
      </c>
      <c r="G55" s="3">
        <v>43678</v>
      </c>
      <c r="H55" t="inlineStr">
        <is>
          <t>pCODR 10142</t>
        </is>
      </c>
      <c r="I55" t="inlineStr">
        <is>
          <t>370 MBq/mL</t>
        </is>
      </c>
      <c r="J55" t="inlineStr">
        <is>
          <t>Gastrointestinal</t>
        </is>
      </c>
      <c r="K55" t="inlineStr">
        <is>
          <t>For the treatment of somatostatin receptor-positive gastroenteropancreatic neuroendocrine tumors (GEP-NETs), including foregut, midgut, and hindgut neuroendocrine tumors in adults whose disease has progressed and is unresectable.</t>
        </is>
      </c>
      <c r="L55" t="inlineStr">
        <is>
          <t>Yes</t>
        </is>
      </c>
      <c r="M55" s="3">
        <v>43474</v>
      </c>
      <c r="N55" t="inlineStr">
        <is>
          <t>Advanced Accelerator Applications</t>
        </is>
      </c>
      <c r="O55" t="inlineStr">
        <is>
          <t>Advanced Accelerator Applications</t>
        </is>
      </c>
      <c r="P55" s="3">
        <v>43319</v>
      </c>
      <c r="Q55" t="inlineStr">
        <is>
          <t>New Drug</t>
        </is>
      </c>
      <c r="R55" t="inlineStr">
        <is>
          <t>Requested and Granted</t>
        </is>
      </c>
      <c r="T55" s="3">
        <v>43383</v>
      </c>
      <c r="U55" s="3">
        <v>43601</v>
      </c>
      <c r="X55" s="3">
        <v>43664</v>
      </c>
      <c r="Y55" s="3">
        <v>43696</v>
      </c>
    </row>
    <row r="56">
      <c r="A56" s="2">
        <f>HYPERLINK("https://www.cadth.ca/vizimpro-non-small-cell-lung-cancer-details", "Vizimpro")</f>
        <v>0</v>
      </c>
      <c r="B56" t="inlineStr">
        <is>
          <t>Dacomitinib</t>
        </is>
      </c>
      <c r="C56" t="inlineStr">
        <is>
          <t>Lung Non-Small Cell Lung Cancer</t>
        </is>
      </c>
      <c r="E56" t="inlineStr">
        <is>
          <t>Notification to Implement Issued</t>
        </is>
      </c>
      <c r="F56" s="3">
        <v>43362</v>
      </c>
      <c r="G56" s="3">
        <v>43616</v>
      </c>
      <c r="H56" t="inlineStr">
        <is>
          <t>pCODR 10129</t>
        </is>
      </c>
      <c r="I56" t="inlineStr">
        <is>
          <t>15 mg, 30 mg &amp; 45 mg</t>
        </is>
      </c>
      <c r="J56" t="inlineStr">
        <is>
          <t>Lung</t>
        </is>
      </c>
      <c r="K56" t="inlineStr">
        <is>
          <t>For the first-line treatment of patients with locally advanced or metastatic non‑small cell lung cancer (NSCLC) with epidermal growth factor receptor (EGFR)-activating mutations.</t>
        </is>
      </c>
      <c r="L56" t="inlineStr">
        <is>
          <t>Yes</t>
        </is>
      </c>
      <c r="M56" s="3">
        <v>43522</v>
      </c>
      <c r="N56" t="inlineStr">
        <is>
          <t>Pfizer Canada Inc.</t>
        </is>
      </c>
      <c r="O56" t="inlineStr">
        <is>
          <t>Pfizer Canada Inc.</t>
        </is>
      </c>
      <c r="P56" s="3">
        <v>43376</v>
      </c>
      <c r="Q56" t="inlineStr">
        <is>
          <t>New Drug</t>
        </is>
      </c>
      <c r="T56" s="3">
        <v>43438</v>
      </c>
      <c r="U56" s="3">
        <v>43545</v>
      </c>
      <c r="X56" s="3">
        <v>43601</v>
      </c>
      <c r="Y56" s="3">
        <v>43633</v>
      </c>
    </row>
    <row r="57">
      <c r="A57" s="2">
        <f>HYPERLINK("https://www.cadth.ca/keytruda-melanoma-adjuvant-treatment-details", "Keytruda")</f>
        <v>0</v>
      </c>
      <c r="B57" t="inlineStr">
        <is>
          <t>Pembrolizumab</t>
        </is>
      </c>
      <c r="C57" t="inlineStr">
        <is>
          <t>Skin &amp; Melanoma Melanoma Adjuvant Treatment</t>
        </is>
      </c>
      <c r="E57" t="inlineStr">
        <is>
          <t>Notification to Implement Issued</t>
        </is>
      </c>
      <c r="F57" s="3">
        <v>43447</v>
      </c>
      <c r="G57" s="3">
        <v>43678</v>
      </c>
      <c r="H57" t="inlineStr">
        <is>
          <t>pCODR 10168</t>
        </is>
      </c>
      <c r="I57" t="inlineStr">
        <is>
          <t>25 mg / mL and 50 mg / vial</t>
        </is>
      </c>
      <c r="J57" t="inlineStr">
        <is>
          <t>Skin &amp; Melanoma</t>
        </is>
      </c>
      <c r="K57" t="inlineStr">
        <is>
          <t>For adjuvant treatment of Stage III melanoma  patients following resection ; for re-treatment of patients upon loco-regional or distant recurrence more than 6 months following completed adjuvant course of KEYTRUDA®</t>
        </is>
      </c>
      <c r="L57" t="inlineStr">
        <is>
          <t>Yes</t>
        </is>
      </c>
      <c r="M57" s="3">
        <v>43557</v>
      </c>
      <c r="N57" t="inlineStr">
        <is>
          <t>Merck Canada</t>
        </is>
      </c>
      <c r="O57" t="inlineStr">
        <is>
          <t>Merck Canada</t>
        </is>
      </c>
      <c r="P57" s="3">
        <v>43480</v>
      </c>
      <c r="Q57" t="inlineStr">
        <is>
          <t>New Indication</t>
        </is>
      </c>
      <c r="T57" s="3">
        <v>43522</v>
      </c>
      <c r="U57" s="3">
        <v>43601</v>
      </c>
      <c r="X57" s="3">
        <v>43664</v>
      </c>
      <c r="Y57" s="3">
        <v>43696</v>
      </c>
    </row>
    <row r="58">
      <c r="A58" s="2">
        <f>HYPERLINK("https://www.cadth.ca/ninlaro-multiple-myeloma-2nd-beyond-details", "Ninlaro")</f>
        <v>0</v>
      </c>
      <c r="B58" t="inlineStr">
        <is>
          <t>Ixazomib</t>
        </is>
      </c>
      <c r="C58" t="inlineStr">
        <is>
          <t>Myeloma Multiple Myeloma (2nd-beyond)</t>
        </is>
      </c>
      <c r="E58" t="inlineStr">
        <is>
          <t>Notification to Implement Issued</t>
        </is>
      </c>
      <c r="F58" s="3">
        <v>43434</v>
      </c>
      <c r="G58" s="3">
        <v>43651</v>
      </c>
      <c r="H58" t="inlineStr">
        <is>
          <t>pCODR 10164</t>
        </is>
      </c>
      <c r="I58" t="inlineStr">
        <is>
          <t>4 mg, 3 mg and 2.3 mg</t>
        </is>
      </c>
      <c r="J58" t="inlineStr">
        <is>
          <t>Myeloma</t>
        </is>
      </c>
      <c r="K58" t="inlineStr">
        <is>
          <t>In combination with lenalidomide and dexamethasone for the treatment of adult patients with multiple myeloma who have received at least one prior therapy</t>
        </is>
      </c>
      <c r="L58" t="inlineStr">
        <is>
          <t>No</t>
        </is>
      </c>
      <c r="M58" s="3">
        <v>42586</v>
      </c>
      <c r="N58" t="inlineStr">
        <is>
          <t>Takeda Canada Inc.</t>
        </is>
      </c>
      <c r="O58" t="inlineStr">
        <is>
          <t>Takeda Canada Inc.</t>
        </is>
      </c>
      <c r="P58" s="3">
        <v>43448</v>
      </c>
      <c r="Q58" t="inlineStr">
        <is>
          <t>New Indication</t>
        </is>
      </c>
      <c r="T58" s="3">
        <v>43503</v>
      </c>
      <c r="U58" s="3">
        <v>43573</v>
      </c>
      <c r="X58" s="3">
        <v>43636</v>
      </c>
      <c r="Y58" s="3">
        <v>43668</v>
      </c>
    </row>
    <row r="59">
      <c r="A59" s="2">
        <f>HYPERLINK("https://www.cadth.ca/idhifa-acute-myeloid-leukemia-details", "Idhifa")</f>
        <v>0</v>
      </c>
      <c r="B59" t="inlineStr">
        <is>
          <t>Enasidenib</t>
        </is>
      </c>
      <c r="C59" t="inlineStr">
        <is>
          <t>Leukemia Acute Myeloid Leukemia (AML)</t>
        </is>
      </c>
      <c r="E59" t="inlineStr">
        <is>
          <t>Notification to Implement Issued</t>
        </is>
      </c>
      <c r="F59" s="3">
        <v>43560</v>
      </c>
      <c r="G59" s="3">
        <v>43769</v>
      </c>
      <c r="H59" t="inlineStr">
        <is>
          <t>pCODR 10144</t>
        </is>
      </c>
      <c r="I59" t="inlineStr">
        <is>
          <t>50 mg and 100 mg</t>
        </is>
      </c>
      <c r="J59" t="inlineStr">
        <is>
          <t>Leukemia</t>
        </is>
      </c>
      <c r="K59" t="inlineStr">
        <is>
          <t>For the treatment of adult patients with relapsed or refractory (R/R) acute myeloid leukemia (AML) with an isocitrate dehydrogenase-2 (IDH2) mutation</t>
        </is>
      </c>
      <c r="L59" t="inlineStr">
        <is>
          <t>No</t>
        </is>
      </c>
      <c r="M59" s="3">
        <v>43502</v>
      </c>
      <c r="N59" t="inlineStr">
        <is>
          <t>Celgene Inc.</t>
        </is>
      </c>
      <c r="O59" t="inlineStr">
        <is>
          <t>Celgene Inc.</t>
        </is>
      </c>
      <c r="P59" s="3">
        <v>43577</v>
      </c>
      <c r="Q59" t="inlineStr">
        <is>
          <t>New Drug</t>
        </is>
      </c>
      <c r="T59" s="3">
        <v>43628</v>
      </c>
      <c r="U59" s="3">
        <v>43692</v>
      </c>
      <c r="X59" s="3">
        <v>43755</v>
      </c>
      <c r="Y59" s="3">
        <v>43784</v>
      </c>
    </row>
    <row r="60">
      <c r="A60" s="2">
        <f>HYPERLINK("https://www.cadth.ca/lynparza-newly-diagnosed-ovarian-cancer-details", "Lynparza")</f>
        <v>0</v>
      </c>
      <c r="B60" t="inlineStr">
        <is>
          <t>Olaparib</t>
        </is>
      </c>
      <c r="C60" t="inlineStr">
        <is>
          <t>Gynecology  Ovarian Cancer</t>
        </is>
      </c>
      <c r="E60" t="inlineStr">
        <is>
          <t>Notification to Implement Issued</t>
        </is>
      </c>
      <c r="F60" s="3">
        <v>43573</v>
      </c>
      <c r="G60" s="3">
        <v>43804</v>
      </c>
      <c r="H60" t="inlineStr">
        <is>
          <t>pCODR 10174</t>
        </is>
      </c>
      <c r="I60" t="inlineStr">
        <is>
          <t>100 mg and 150 mg</t>
        </is>
      </c>
      <c r="J60" t="inlineStr">
        <is>
          <t>Gynecology</t>
        </is>
      </c>
      <c r="K60" t="inlineStr">
        <is>
          <t>As monotherapy for the maintenance treatment of adult patients with newly diagnosed advanced BRCA-mutated high-grade epithelial ovarian, fallopian tube or primary peritoneal cancer who are in response (complete response or partial response) to first-line platinum-based chemotherapy, until disease progression or up to 2 years if no evidence of disease. Patients must have confirmation of BRCA mutation (identified by either germline or tumour testing) before LYNPARZA treatment is initiated.</t>
        </is>
      </c>
      <c r="L60" t="inlineStr">
        <is>
          <t>Yes</t>
        </is>
      </c>
      <c r="M60" s="3">
        <v>43591</v>
      </c>
      <c r="N60" t="inlineStr">
        <is>
          <t>AstraZeneca Canada</t>
        </is>
      </c>
      <c r="O60" t="inlineStr">
        <is>
          <t>AstraZeneca Canada</t>
        </is>
      </c>
      <c r="P60" s="3">
        <v>43588</v>
      </c>
      <c r="Q60" t="inlineStr">
        <is>
          <t>New Indication</t>
        </is>
      </c>
      <c r="T60" s="3">
        <v>43649</v>
      </c>
      <c r="U60" s="3">
        <v>43727</v>
      </c>
      <c r="X60" s="3">
        <v>43790</v>
      </c>
      <c r="Y60" s="3">
        <v>43819</v>
      </c>
    </row>
    <row r="61">
      <c r="A61" s="2">
        <f>HYPERLINK("https://www.cadth.ca/tafinlar-mekinist-combo-melanoma-adjuvant-therapy-details", "Tafinlar &amp; Mekinist in combo")</f>
        <v>0</v>
      </c>
      <c r="B61" t="inlineStr">
        <is>
          <t>Dabrafenib &amp; Trametinib in combo</t>
        </is>
      </c>
      <c r="C61" t="inlineStr">
        <is>
          <t>Skin &amp; Melanoma Melanoma Adjuvant Therapy</t>
        </is>
      </c>
      <c r="E61" t="inlineStr">
        <is>
          <t>Notification to Implement Issued</t>
        </is>
      </c>
      <c r="F61" s="3">
        <v>43364</v>
      </c>
      <c r="G61" s="3">
        <v>43588</v>
      </c>
      <c r="H61" t="inlineStr">
        <is>
          <t>pCODR 10152</t>
        </is>
      </c>
      <c r="I61" t="inlineStr">
        <is>
          <t>50 mg &amp; 75 mg and 0.5 mg &amp; 2.0 mg</t>
        </is>
      </c>
      <c r="J61" t="inlineStr">
        <is>
          <t>Skin &amp; Melanoma</t>
        </is>
      </c>
      <c r="K61" t="inlineStr">
        <is>
          <t>For the adjuvant treatment of patients with melanoma with a BRAF V600 mutation and involvement of lymph node(s), following complete resection</t>
        </is>
      </c>
      <c r="L61" t="inlineStr">
        <is>
          <t>Yes</t>
        </is>
      </c>
      <c r="M61" s="3">
        <v>43364</v>
      </c>
      <c r="N61" t="inlineStr">
        <is>
          <t>Novartis Pharmaceuticals Canada Inc.</t>
        </is>
      </c>
      <c r="O61" t="inlineStr">
        <is>
          <t>Novartis Pharmaceuticals Canada Inc.</t>
        </is>
      </c>
      <c r="P61" s="3">
        <v>43378</v>
      </c>
      <c r="Q61" t="inlineStr">
        <is>
          <t>New Indication</t>
        </is>
      </c>
      <c r="T61" s="3">
        <v>43418</v>
      </c>
      <c r="U61" s="3">
        <v>43517</v>
      </c>
      <c r="X61" s="3">
        <v>43573</v>
      </c>
      <c r="Y61" s="3">
        <v>43606</v>
      </c>
    </row>
    <row r="62">
      <c r="A62" s="2">
        <f>HYPERLINK("https://www.cadth.ca/ibrance-faslodex-advanced-or-metastatic-breast-cancer-details", "Ibrance (with Faslodex)")</f>
        <v>0</v>
      </c>
      <c r="B62" t="inlineStr">
        <is>
          <t>Palbociclib (with Fulvestrant)</t>
        </is>
      </c>
      <c r="C62" t="inlineStr">
        <is>
          <t>Breast Advanced or Metastatic Breast Cancer</t>
        </is>
      </c>
      <c r="E62" t="inlineStr">
        <is>
          <t>Notification to Implement Issued</t>
        </is>
      </c>
      <c r="F62" s="3">
        <v>43371</v>
      </c>
      <c r="G62" s="3">
        <v>43588</v>
      </c>
      <c r="H62" t="inlineStr">
        <is>
          <t>pCODR 10150</t>
        </is>
      </c>
      <c r="I62" t="inlineStr">
        <is>
          <t>75 mg, 100 mg &amp; 125 mg</t>
        </is>
      </c>
      <c r="J62" t="inlineStr">
        <is>
          <t>Breast</t>
        </is>
      </c>
      <c r="K62" t="inlineStr">
        <is>
          <t>In combination with fulvestrant for the treatment of women with hormone receptor (HR)-positive, human epidermal growth factor receptor 2 (HER2)-negative locally advanced or metastatic breast cancer whose disease progressed after prior endocrine therapy, Pre- or perimenopausal women must also be treated with a luteinizing hormone releasing hormone (LHRH) agonist</t>
        </is>
      </c>
      <c r="L62" t="inlineStr">
        <is>
          <t>No</t>
        </is>
      </c>
      <c r="M62" s="3">
        <v>42874</v>
      </c>
      <c r="N62" t="inlineStr">
        <is>
          <t>Pfizer Canada Inc.</t>
        </is>
      </c>
      <c r="O62" t="inlineStr">
        <is>
          <t>Pfizer Canada Inc.</t>
        </is>
      </c>
      <c r="P62" s="3">
        <v>43388</v>
      </c>
      <c r="Q62" t="inlineStr">
        <is>
          <t>New Indication</t>
        </is>
      </c>
      <c r="T62" s="3">
        <v>43425</v>
      </c>
      <c r="U62" s="3">
        <v>43517</v>
      </c>
      <c r="X62" s="3">
        <v>43573</v>
      </c>
      <c r="Y62" s="3">
        <v>43606</v>
      </c>
    </row>
    <row r="63">
      <c r="A63" s="2">
        <f>HYPERLINK("https://www.cadth.ca/ogivri-early-breast-cancer-metastatic-breast-cancer-metastatic-gastric-cancer-biosimilar-details", "Ogivri")</f>
        <v>0</v>
      </c>
      <c r="B63" t="inlineStr">
        <is>
          <t>Trastuzumab</t>
        </is>
      </c>
      <c r="C63" t="inlineStr">
        <is>
          <t>Breast / Gastrointestinal Early Breast Cancer / Metastatic Breast Cancer / Metastatic Gastric Cancer Biosimilar</t>
        </is>
      </c>
      <c r="E63" t="inlineStr">
        <is>
          <t>Withdrawn</t>
        </is>
      </c>
      <c r="F63" s="3">
        <v>43452</v>
      </c>
      <c r="H63" t="inlineStr">
        <is>
          <t>pCODR 10169</t>
        </is>
      </c>
      <c r="I63" t="inlineStr">
        <is>
          <t>150 mg/vial and 440 mg/vial</t>
        </is>
      </c>
      <c r="J63" t="inlineStr">
        <is>
          <t>Breast / Gastrointestinal</t>
        </is>
      </c>
      <c r="K63" t="inlineStr">
        <is>
          <t>For the treatment of patients with early stage breast cancer with ECOG 0-1 status, whose tumours overexpress HER2, following surgery and after chemotherapy, following adjuvant chemotherapy consisting of doxorubicin and cyclophosphamide, in combination with paclitaxel or docetaxel, in combination with adjuvant chemotherapy consisting of docetaxel and carboplatin / the treatment of patients with MBC whose tumours overexpress HER2 / in combination with capecitabine or intravenous 5-fluorouracil and cisplatin is indicated for the treatment of patients with HER2 positive metastatic adenocarcinoma of the stomach or gastro-esophageal junction who have not received prior anti-cancer treatment for their metastatic disease</t>
        </is>
      </c>
      <c r="L63" t="inlineStr">
        <is>
          <t>Yes</t>
        </is>
      </c>
      <c r="M63" s="3">
        <v>43592</v>
      </c>
      <c r="N63" t="inlineStr">
        <is>
          <t>BGP Pharma ULC</t>
        </is>
      </c>
      <c r="O63" t="inlineStr">
        <is>
          <t>BGP Pharma ULC</t>
        </is>
      </c>
      <c r="P63" s="3">
        <v>43474</v>
      </c>
      <c r="Q63" t="inlineStr">
        <is>
          <t>Biosimilar – New Drug</t>
        </is>
      </c>
      <c r="Z63" t="inlineStr">
        <is>
          <t>Mylan Canada has requested a voluntary withdrawal of the pCODR 10169 submission for Ogivri.</t>
        </is>
      </c>
    </row>
    <row r="64">
      <c r="A64" s="2">
        <f>HYPERLINK("https://www.cadth.ca/nelarabine-acute-lymphoblastic-leukemia-details", "Atriance")</f>
        <v>0</v>
      </c>
      <c r="B64" t="inlineStr">
        <is>
          <t>Nelarabine</t>
        </is>
      </c>
      <c r="C64" t="inlineStr">
        <is>
          <t>Leukemia Acute Lymphoblastic Leukemia</t>
        </is>
      </c>
      <c r="E64" t="inlineStr">
        <is>
          <t>File-Closed Not Submitted</t>
        </is>
      </c>
      <c r="H64" t="inlineStr">
        <is>
          <t>pCODR 10170</t>
        </is>
      </c>
      <c r="I64" t="inlineStr">
        <is>
          <t>650 mg</t>
        </is>
      </c>
      <c r="J64" t="inlineStr">
        <is>
          <t>Leukemia</t>
        </is>
      </c>
      <c r="K64" t="inlineStr">
        <is>
          <t>Individuals, aged 1–30 years, newly diagnosed with intermediate- or high-risk (CNS1 or CNS 2) T-ALL, stages II-IV, during upfront therapy.</t>
        </is>
      </c>
      <c r="L64" t="inlineStr">
        <is>
          <t>No</t>
        </is>
      </c>
      <c r="M64" s="3">
        <v>42216</v>
      </c>
      <c r="N64" t="inlineStr">
        <is>
          <t>Novartis Pharmaceuticals Canada Inc.</t>
        </is>
      </c>
      <c r="O64" t="inlineStr">
        <is>
          <t>Pediatric Oncology Group of Ontario</t>
        </is>
      </c>
      <c r="Q64" t="inlineStr">
        <is>
          <t>New Indication</t>
        </is>
      </c>
      <c r="Z64" t="inlineStr">
        <is>
          <t>Pediatric Oncology Group of Ontario has notified pCODR that they will not be filing the submission.</t>
        </is>
      </c>
    </row>
    <row r="65">
      <c r="A65" s="2">
        <f>HYPERLINK("https://www.cadth.ca/afinitor-neuroendocrine-tumors-gastrointestinal-or-lung-origin-details", "Afinitor")</f>
        <v>0</v>
      </c>
      <c r="B65" t="inlineStr">
        <is>
          <t>Everolimus</t>
        </is>
      </c>
      <c r="C65" t="inlineStr">
        <is>
          <t>Endocrine Neuroendocrine tumours  of Gastrointestinal or Lung origin</t>
        </is>
      </c>
      <c r="E65" t="inlineStr">
        <is>
          <t>Notification to Implement Issued</t>
        </is>
      </c>
      <c r="F65" s="3">
        <v>42520</v>
      </c>
      <c r="G65" s="3">
        <v>42705</v>
      </c>
      <c r="H65" t="inlineStr">
        <is>
          <t>pCODR 10083</t>
        </is>
      </c>
      <c r="I65" t="inlineStr">
        <is>
          <t>2.5 mg, 5mg, 7.5mg and 10 mg tablets</t>
        </is>
      </c>
      <c r="J65" t="inlineStr">
        <is>
          <t>Endocrine</t>
        </is>
      </c>
      <c r="K65" t="inlineStr">
        <is>
          <t>For the treatment of unresectable, locally advanced or metastatic, well differentiated non-functional neuroendocrine tumours (NET) of gastrointestinal or lung origin in adults with progressive disease</t>
        </is>
      </c>
      <c r="L65" t="inlineStr">
        <is>
          <t>No</t>
        </is>
      </c>
      <c r="M65" s="3">
        <v>42507</v>
      </c>
      <c r="N65" t="inlineStr">
        <is>
          <t>Novartis Pharmaceuticals Canada Inc.</t>
        </is>
      </c>
      <c r="O65" t="inlineStr">
        <is>
          <t>Novartis Pharmaceuticals Canada Inc.</t>
        </is>
      </c>
      <c r="P65" s="3">
        <v>42527</v>
      </c>
      <c r="Q65" t="inlineStr">
        <is>
          <t>New Indication</t>
        </is>
      </c>
      <c r="R65" t="inlineStr">
        <is>
          <t>Not Requested</t>
        </is>
      </c>
      <c r="T65" s="3">
        <v>42571</v>
      </c>
      <c r="U65" s="3">
        <v>42628</v>
      </c>
      <c r="X65" s="3">
        <v>42691</v>
      </c>
      <c r="Y65" s="3">
        <v>42720</v>
      </c>
    </row>
    <row r="66">
      <c r="A66" s="2">
        <f>HYPERLINK("https://www.cadth.ca/kyprolis-multiple-myeloma-relapsed-details", "Kyprolis")</f>
        <v>0</v>
      </c>
      <c r="B66" t="inlineStr">
        <is>
          <t>Carfilzomib</t>
        </is>
      </c>
      <c r="C66" t="inlineStr">
        <is>
          <t>Myeloma Multiple Myeloma (relapsed)</t>
        </is>
      </c>
      <c r="E66" t="inlineStr">
        <is>
          <t>Notification to Implement Issued</t>
        </is>
      </c>
      <c r="F66" s="3">
        <v>42622</v>
      </c>
      <c r="G66" s="3">
        <v>42824</v>
      </c>
      <c r="H66" t="inlineStr">
        <is>
          <t>pCODR 10084</t>
        </is>
      </c>
      <c r="I66" t="inlineStr">
        <is>
          <t>60 mg per vial</t>
        </is>
      </c>
      <c r="J66" t="inlineStr">
        <is>
          <t>Myeloma</t>
        </is>
      </c>
      <c r="K66" t="inlineStr">
        <is>
          <t>In combination with dexamethasone alone in the treatment of patients with relapsed multiple myeloma who have received 1 to 3 prior lines of therapy</t>
        </is>
      </c>
      <c r="L66" t="inlineStr">
        <is>
          <t>Yes</t>
        </is>
      </c>
      <c r="M66" s="3">
        <v>42696</v>
      </c>
      <c r="N66" t="inlineStr">
        <is>
          <t>Amgen Canada Inc.</t>
        </is>
      </c>
      <c r="O66" t="inlineStr">
        <is>
          <t>Amgen Canada Inc.</t>
        </is>
      </c>
      <c r="P66" s="3">
        <v>42629</v>
      </c>
      <c r="Q66" t="inlineStr">
        <is>
          <t>New Indication</t>
        </is>
      </c>
      <c r="R66" t="inlineStr">
        <is>
          <t>Not Requested</t>
        </is>
      </c>
      <c r="T66" s="3">
        <v>42675</v>
      </c>
      <c r="U66" s="3">
        <v>42754</v>
      </c>
      <c r="X66" s="3">
        <v>42810</v>
      </c>
      <c r="Y66" s="3">
        <v>42842</v>
      </c>
    </row>
    <row r="67">
      <c r="A67" s="2">
        <f>HYPERLINK("https://www.cadth.ca/imbruvica-mantle-cell-lymphoma-relapsedrefractory", "Imbruvica")</f>
        <v>0</v>
      </c>
      <c r="B67" t="inlineStr">
        <is>
          <t>Ibrutinib</t>
        </is>
      </c>
      <c r="C67" t="inlineStr">
        <is>
          <t>Lymphoma Mantle Cell Lymphoma</t>
        </is>
      </c>
      <c r="E67" t="inlineStr">
        <is>
          <t>Notification to Implement Issued</t>
        </is>
      </c>
      <c r="F67" s="3">
        <v>42398</v>
      </c>
      <c r="G67" s="3">
        <v>42570</v>
      </c>
      <c r="H67" t="inlineStr">
        <is>
          <t>pCODR 10073</t>
        </is>
      </c>
      <c r="I67" t="inlineStr">
        <is>
          <t>140 mg capsule</t>
        </is>
      </c>
      <c r="J67" t="inlineStr">
        <is>
          <t>Lymphoma</t>
        </is>
      </c>
      <c r="K67" t="inlineStr">
        <is>
          <t>For the treatment of patients with relapsed/refractory mantle cell lymphoma (MCL)</t>
        </is>
      </c>
      <c r="L67" t="inlineStr">
        <is>
          <t>No</t>
        </is>
      </c>
      <c r="M67" s="3">
        <v>42179</v>
      </c>
      <c r="N67" t="inlineStr">
        <is>
          <t>Janssen Inc.</t>
        </is>
      </c>
      <c r="O67" t="inlineStr">
        <is>
          <t>Janssen Inc.</t>
        </is>
      </c>
      <c r="P67" s="3">
        <v>42405</v>
      </c>
      <c r="Q67" t="inlineStr">
        <is>
          <t>New Indication</t>
        </is>
      </c>
      <c r="R67" t="inlineStr">
        <is>
          <t>Not Requested</t>
        </is>
      </c>
      <c r="T67" s="3">
        <v>42460</v>
      </c>
      <c r="U67" s="3">
        <v>42537</v>
      </c>
      <c r="Y67" s="3">
        <v>42586</v>
      </c>
    </row>
    <row r="68">
      <c r="A68" s="2">
        <f>HYPERLINK("https://www.cadth.ca/zydelig-follicular-lymphoma-details", "Zydelig")</f>
        <v>0</v>
      </c>
      <c r="B68" t="inlineStr">
        <is>
          <t>Idelalisib</t>
        </is>
      </c>
      <c r="C68" t="inlineStr">
        <is>
          <t>Lymphoma Follicular Lymphoma</t>
        </is>
      </c>
      <c r="E68" t="inlineStr">
        <is>
          <t>Notification to Implement Issued</t>
        </is>
      </c>
      <c r="F68" s="3">
        <v>42472</v>
      </c>
      <c r="G68" s="3">
        <v>42642</v>
      </c>
      <c r="H68" t="inlineStr">
        <is>
          <t>pCODR 10075</t>
        </is>
      </c>
      <c r="I68" t="inlineStr">
        <is>
          <t>100mg &amp; 150mg Tablets</t>
        </is>
      </c>
      <c r="J68" t="inlineStr">
        <is>
          <t>Lymphoma</t>
        </is>
      </c>
      <c r="K68" t="inlineStr">
        <is>
          <t>For the treatment of patients with follicular lymphoma who have received at least two prior systemic therapies and are refractory to both rituximab and an alkylating agent</t>
        </is>
      </c>
      <c r="L68" t="inlineStr">
        <is>
          <t>No</t>
        </is>
      </c>
      <c r="M68" s="3">
        <v>42090</v>
      </c>
      <c r="N68" t="inlineStr">
        <is>
          <t>Gilead Sciences, Inc.</t>
        </is>
      </c>
      <c r="O68" t="inlineStr">
        <is>
          <t>Gilead Sciences, Inc.</t>
        </is>
      </c>
      <c r="P68" s="3">
        <v>42479</v>
      </c>
      <c r="Q68" t="inlineStr">
        <is>
          <t>New Indication</t>
        </is>
      </c>
      <c r="R68" t="inlineStr">
        <is>
          <t>Not Requested</t>
        </is>
      </c>
      <c r="T68" s="3">
        <v>42516</v>
      </c>
      <c r="U68" s="3">
        <v>42572</v>
      </c>
      <c r="X68" s="3">
        <v>42628</v>
      </c>
      <c r="Y68" s="3">
        <v>42660</v>
      </c>
    </row>
    <row r="69">
      <c r="A69" s="2">
        <f>HYPERLINK("https://www.cadth.ca/tafinlar-mekinist-combo-non-small-cell-lung-cancer-details", "Tafinlar &amp; Mekinist in combo")</f>
        <v>0</v>
      </c>
      <c r="B69" t="inlineStr">
        <is>
          <t>Dabrafenib &amp; Trametinib in combo</t>
        </is>
      </c>
      <c r="C69" t="inlineStr">
        <is>
          <t>Lung Non-Small Cell Lung Cancer</t>
        </is>
      </c>
      <c r="E69" t="inlineStr">
        <is>
          <t>Notification to Implement Issued</t>
        </is>
      </c>
      <c r="F69" s="3">
        <v>42825</v>
      </c>
      <c r="G69" s="3">
        <v>43041</v>
      </c>
      <c r="H69" t="inlineStr">
        <is>
          <t>pCODR 10106</t>
        </is>
      </c>
      <c r="I69" t="inlineStr">
        <is>
          <t>Dabrafenib: 50mg and 75mg capsules; Trametinib: 0.5mg and 2.0mg tablet</t>
        </is>
      </c>
      <c r="J69" t="inlineStr">
        <is>
          <t>Lung</t>
        </is>
      </c>
      <c r="K69" t="inlineStr">
        <is>
          <t>In combination for the treatment of patients with advanced non-small cell lung cancer (NSCLC) with a BRAF V600 mutation and who have been previously treated with chemotherapy</t>
        </is>
      </c>
      <c r="L69" t="inlineStr">
        <is>
          <t>Yes</t>
        </is>
      </c>
      <c r="M69" s="3">
        <v>42871</v>
      </c>
      <c r="N69" t="inlineStr">
        <is>
          <t>Novartis Pharmaceuticals Canada Inc.</t>
        </is>
      </c>
      <c r="O69" t="inlineStr">
        <is>
          <t>Novartis Pharmaceuticals Canada Inc.</t>
        </is>
      </c>
      <c r="P69" s="3">
        <v>42832</v>
      </c>
      <c r="Q69" t="inlineStr">
        <is>
          <t>New Indication</t>
        </is>
      </c>
      <c r="R69" t="inlineStr">
        <is>
          <t>Not Requested</t>
        </is>
      </c>
      <c r="T69" s="3">
        <v>42899</v>
      </c>
      <c r="U69" s="3">
        <v>42964</v>
      </c>
      <c r="X69" s="3">
        <v>43027</v>
      </c>
      <c r="Y69" s="3">
        <v>43056</v>
      </c>
    </row>
    <row r="70">
      <c r="A70" s="2">
        <f>HYPERLINK("https://www.cadth.ca/bavencio-metastatic-merkel-cell-carcinoma-details", "Bavencio")</f>
        <v>0</v>
      </c>
      <c r="B70" t="inlineStr">
        <is>
          <t>Avelumab</t>
        </is>
      </c>
      <c r="C70" t="inlineStr">
        <is>
          <t>Skin &amp; Melanoma  metastatic Merkel Cell Carcinoma</t>
        </is>
      </c>
      <c r="E70" t="inlineStr">
        <is>
          <t>Notification to Implement Issued</t>
        </is>
      </c>
      <c r="F70" s="3">
        <v>43018</v>
      </c>
      <c r="G70" s="3">
        <v>43180</v>
      </c>
      <c r="H70" t="inlineStr">
        <is>
          <t>pCODR 10124</t>
        </is>
      </c>
      <c r="I70" t="inlineStr">
        <is>
          <t>20 mg/mL</t>
        </is>
      </c>
      <c r="J70" t="inlineStr">
        <is>
          <t>Skin &amp; Melanoma</t>
        </is>
      </c>
      <c r="K70" t="inlineStr">
        <is>
          <t>For the treatment of mMCC in previously treated adults</t>
        </is>
      </c>
      <c r="L70" t="inlineStr">
        <is>
          <t>Yes</t>
        </is>
      </c>
      <c r="M70" s="3">
        <v>43087</v>
      </c>
      <c r="N70" t="inlineStr">
        <is>
          <t>EMD Serono - Pfizer Alliance</t>
        </is>
      </c>
      <c r="O70" t="inlineStr">
        <is>
          <t>EMD Serono - Pfizer Alliance</t>
        </is>
      </c>
      <c r="P70" s="3">
        <v>43025</v>
      </c>
      <c r="Q70" t="inlineStr">
        <is>
          <t>New Drug</t>
        </is>
      </c>
      <c r="R70" t="inlineStr">
        <is>
          <t>Requested and Granted</t>
        </is>
      </c>
      <c r="T70" s="3">
        <v>43073</v>
      </c>
      <c r="U70" s="3">
        <v>43146</v>
      </c>
      <c r="Y70" s="3">
        <v>43196</v>
      </c>
    </row>
    <row r="71">
      <c r="A71" s="2">
        <f>HYPERLINK("https://www.cadth.ca/alecensaro-locally-advanced-or-metastatic-non-small-cell-lung-cancer-second-line-details", "Alecensaro")</f>
        <v>0</v>
      </c>
      <c r="B71" t="inlineStr">
        <is>
          <t>Alectinib</t>
        </is>
      </c>
      <c r="C71" t="inlineStr">
        <is>
          <t>Lung Locally advanced or metastatic non-small cell lung cancer  (second line)</t>
        </is>
      </c>
      <c r="E71" t="inlineStr">
        <is>
          <t>Notification to Implement Issued</t>
        </is>
      </c>
      <c r="F71" s="3">
        <v>42965</v>
      </c>
      <c r="G71" s="3">
        <v>43188</v>
      </c>
      <c r="H71" t="inlineStr">
        <is>
          <t>pCODR 10114</t>
        </is>
      </c>
      <c r="I71" t="inlineStr">
        <is>
          <t>150 mg</t>
        </is>
      </c>
      <c r="J71" t="inlineStr">
        <is>
          <t>Lung</t>
        </is>
      </c>
      <c r="K71" t="inlineStr">
        <is>
          <t>As monotherapy for the treatment of patients with anaplastic lymphoma kinase (ALK)-positive, locally advanced (not amenable to curative therapy) or metastatic non-small cell lung cancer (NSCLC) who have progressed on or are intolerant to crizotinib until loss of clinical benefit</t>
        </is>
      </c>
      <c r="L71" t="inlineStr">
        <is>
          <t>No</t>
        </is>
      </c>
      <c r="M71" s="3">
        <v>42642</v>
      </c>
      <c r="N71" t="inlineStr">
        <is>
          <t>Hoffmann-La Roche Limited</t>
        </is>
      </c>
      <c r="O71" t="inlineStr">
        <is>
          <t>Hoffmann-La Roche Limited</t>
        </is>
      </c>
      <c r="P71" s="3">
        <v>42972</v>
      </c>
      <c r="Q71" t="inlineStr">
        <is>
          <t>New Indication</t>
        </is>
      </c>
      <c r="R71" t="inlineStr">
        <is>
          <t>Requested and Not Granted</t>
        </is>
      </c>
      <c r="T71" s="3">
        <v>43018</v>
      </c>
      <c r="U71" s="3">
        <v>43118</v>
      </c>
      <c r="X71" s="3">
        <v>43174</v>
      </c>
      <c r="Y71" s="3">
        <v>43206</v>
      </c>
    </row>
    <row r="72">
      <c r="A72" s="2">
        <f>HYPERLINK("https://www.cadth.ca/erbitux-left-sided-metastatic-colorectal-cancer-details", "Erbitux")</f>
        <v>0</v>
      </c>
      <c r="B72" t="inlineStr">
        <is>
          <t>Cetuximab</t>
        </is>
      </c>
      <c r="C72" t="inlineStr">
        <is>
          <t>Gastrointestinal   Left Sided Metastatic Colorectal Cancer</t>
        </is>
      </c>
      <c r="E72" t="inlineStr">
        <is>
          <t>File-Closed Not Submitted</t>
        </is>
      </c>
      <c r="H72" t="inlineStr">
        <is>
          <t>pCODR 10128</t>
        </is>
      </c>
      <c r="I72" t="inlineStr">
        <is>
          <t>2 mg/mL</t>
        </is>
      </c>
      <c r="J72" t="inlineStr">
        <is>
          <t>Gastrointestinal</t>
        </is>
      </c>
      <c r="K72" t="inlineStr">
        <is>
          <t>For the first-line treatment of RAS wild-type metastatic colorectalcarcinoma (mCRC) patients with left sided primary tumours</t>
        </is>
      </c>
      <c r="L72" t="inlineStr">
        <is>
          <t>No</t>
        </is>
      </c>
      <c r="M72" s="3">
        <v>38604</v>
      </c>
      <c r="N72" t="inlineStr">
        <is>
          <t>Eli Lilly Canada Inc.</t>
        </is>
      </c>
      <c r="O72" t="inlineStr">
        <is>
          <t>Eli Lilly Canada Inc.</t>
        </is>
      </c>
      <c r="Q72" t="inlineStr">
        <is>
          <t>New Indication</t>
        </is>
      </c>
      <c r="Z72" t="inlineStr">
        <is>
          <t>The submitter notified pCODR that they will not be filing the submission.</t>
        </is>
      </c>
    </row>
    <row r="73">
      <c r="A73" s="2">
        <f>HYPERLINK("https://www.cadth.ca/perjeta-herceptin-combo-pack-early-breast-cancer-details", "Perjeta-Herceptin Combo Pack")</f>
        <v>0</v>
      </c>
      <c r="B73" t="inlineStr">
        <is>
          <t>Pertuzumab-Trastuzumab Combo Pack</t>
        </is>
      </c>
      <c r="C73" t="inlineStr">
        <is>
          <t>Breast Early Breast Cancer</t>
        </is>
      </c>
      <c r="E73" t="inlineStr">
        <is>
          <t>Notification to Implement Issued</t>
        </is>
      </c>
      <c r="F73" s="3">
        <v>43199</v>
      </c>
      <c r="G73" s="3">
        <v>43433</v>
      </c>
      <c r="H73" t="inlineStr">
        <is>
          <t>pCODR 10127</t>
        </is>
      </c>
      <c r="I73" t="inlineStr">
        <is>
          <t>420 mg/14 mL</t>
        </is>
      </c>
      <c r="J73" t="inlineStr">
        <is>
          <t>Breast</t>
        </is>
      </c>
      <c r="K73" t="inlineStr">
        <is>
          <t>For 18 cycles for the adjuvant treatment of HER2-positive early breast cancer patients at high risk of recurrence. High risk of  recurrence is defined as either node-positive or hormone receptor-negative disease</t>
        </is>
      </c>
      <c r="L73" t="inlineStr">
        <is>
          <t>Yes</t>
        </is>
      </c>
      <c r="M73" s="3">
        <v>43342</v>
      </c>
      <c r="N73" t="inlineStr">
        <is>
          <t>Hoffmann-La Roche Limited</t>
        </is>
      </c>
      <c r="O73" t="inlineStr">
        <is>
          <t>Hoffmann-La Roche Limited</t>
        </is>
      </c>
      <c r="P73" s="3">
        <v>43206</v>
      </c>
      <c r="Q73" t="inlineStr">
        <is>
          <t>New Indication</t>
        </is>
      </c>
      <c r="R73" t="inlineStr">
        <is>
          <t>Requested and Not Granted</t>
        </is>
      </c>
      <c r="T73" s="3">
        <v>43270</v>
      </c>
      <c r="U73" s="3">
        <v>43363</v>
      </c>
      <c r="X73" s="3">
        <v>43419</v>
      </c>
      <c r="Y73" s="3">
        <v>43448</v>
      </c>
    </row>
    <row r="74">
      <c r="A74" s="2">
        <f>HYPERLINK("https://www.cadth.ca/niraparib-zejula-ovarian-cancer-details", "Zejula")</f>
        <v>0</v>
      </c>
      <c r="B74" t="inlineStr">
        <is>
          <t>Niraparib</t>
        </is>
      </c>
      <c r="C74" t="inlineStr">
        <is>
          <t>Gynecology Ovarian Cancer</t>
        </is>
      </c>
      <c r="E74" t="inlineStr">
        <is>
          <t>Notification to Implement Issued</t>
        </is>
      </c>
      <c r="F74" s="3">
        <v>43868</v>
      </c>
      <c r="G74" s="3">
        <v>44077</v>
      </c>
      <c r="H74" t="inlineStr">
        <is>
          <t>pCODR 10203</t>
        </is>
      </c>
      <c r="I74" t="inlineStr">
        <is>
          <t>100 mg</t>
        </is>
      </c>
      <c r="J74" t="inlineStr">
        <is>
          <t>Gynecology</t>
        </is>
      </c>
      <c r="K74" t="inlineStr">
        <is>
          <t>As monotherapy for the maintenance treatment of female adult patients with recurrent epithelial ovarian, fallopian tube, or primary peritoneal cancer who are in a complete or partial response to platinum-based chemotherapy.</t>
        </is>
      </c>
      <c r="L74" t="inlineStr">
        <is>
          <t>No</t>
        </is>
      </c>
      <c r="M74" s="3">
        <v>43643</v>
      </c>
      <c r="N74" t="inlineStr">
        <is>
          <t>GlaxoSmithKline Inc.</t>
        </is>
      </c>
      <c r="O74" t="inlineStr">
        <is>
          <t>GlaxoSmithKline Inc.</t>
        </is>
      </c>
      <c r="P74" s="3">
        <v>43885</v>
      </c>
      <c r="Q74" t="inlineStr">
        <is>
          <t>New Drug</t>
        </is>
      </c>
      <c r="T74" s="3">
        <v>43929</v>
      </c>
      <c r="U74" s="3">
        <v>44000</v>
      </c>
      <c r="X74" s="3">
        <v>44063</v>
      </c>
      <c r="Y74" s="3">
        <v>44095</v>
      </c>
    </row>
    <row r="75">
      <c r="A75" s="2">
        <f>HYPERLINK("https://www.cadth.ca/gilteritinib-xospata-acute-myeloid-leukemia-details", "Xospata")</f>
        <v>0</v>
      </c>
      <c r="B75" t="inlineStr">
        <is>
          <t>Gilteritinib</t>
        </is>
      </c>
      <c r="C75" t="inlineStr">
        <is>
          <t>Leukemia Acute Myeloid Leukemia (AML)</t>
        </is>
      </c>
      <c r="E75" t="inlineStr">
        <is>
          <t>Notification to Implement Issued</t>
        </is>
      </c>
      <c r="F75" s="3">
        <v>43766</v>
      </c>
      <c r="G75" s="3">
        <v>43971</v>
      </c>
      <c r="H75" t="inlineStr">
        <is>
          <t>pCODR 10202</t>
        </is>
      </c>
      <c r="I75" t="inlineStr">
        <is>
          <t>40mg</t>
        </is>
      </c>
      <c r="J75" t="inlineStr">
        <is>
          <t>Leukemia</t>
        </is>
      </c>
      <c r="K75" t="inlineStr">
        <is>
          <t>For the treatment of adult patients who have relapsed or refractory acute myeloid leukemia (AML) with a FMS-like tyrosine kinase 3 (FLT3) mutation as detected by a validated test.</t>
        </is>
      </c>
      <c r="L75" t="inlineStr">
        <is>
          <t>Yes</t>
        </is>
      </c>
      <c r="M75" s="3">
        <v>43822</v>
      </c>
      <c r="N75" t="inlineStr">
        <is>
          <t>Astellas Pharma Canada Inc.</t>
        </is>
      </c>
      <c r="O75" t="inlineStr">
        <is>
          <t>Astellas Pharma Canada Inc.</t>
        </is>
      </c>
      <c r="P75" s="3">
        <v>43780</v>
      </c>
      <c r="Q75" t="inlineStr">
        <is>
          <t>New Indication</t>
        </is>
      </c>
      <c r="T75" s="3">
        <v>43859</v>
      </c>
      <c r="U75" s="3">
        <v>43937</v>
      </c>
      <c r="Y75" s="3">
        <v>43986</v>
      </c>
    </row>
    <row r="76">
      <c r="A76" s="2">
        <f>HYPERLINK("https://www.cadth.ca/brentuximab-vedotin-adcetris-peripheral-t-cell-lymphoma", "Adcetris")</f>
        <v>0</v>
      </c>
      <c r="B76" t="inlineStr">
        <is>
          <t>Brentuximab Vedotin</t>
        </is>
      </c>
      <c r="C76" t="inlineStr">
        <is>
          <t>Lymphoma Peripheral T-cell Lymphoma (PTCL)</t>
        </is>
      </c>
      <c r="E76" t="inlineStr">
        <is>
          <t>Notification to Implement Issued</t>
        </is>
      </c>
      <c r="F76" s="3">
        <v>43746</v>
      </c>
      <c r="G76" s="3">
        <v>43986</v>
      </c>
      <c r="H76" t="inlineStr">
        <is>
          <t>pCODR 10199</t>
        </is>
      </c>
      <c r="I76" t="inlineStr">
        <is>
          <t>50 mg / vial</t>
        </is>
      </c>
      <c r="J76" t="inlineStr">
        <is>
          <t>Lymphoma</t>
        </is>
      </c>
      <c r="K76" t="inlineStr">
        <is>
          <t>For the treatment of previously untreated adult patients with systemic anaplastic large cell lymphoma (sALCL), peripheral T-cell lymphoma-not otherwise specified (PTCL-NOS) or angioimmunoblastic T-cell lymphoma (AITL), whose tumours express CD30, in combination with cyclophosphamide, doxorubicin, and prednisone (CHP).</t>
        </is>
      </c>
      <c r="L76" t="inlineStr">
        <is>
          <t>Yes</t>
        </is>
      </c>
      <c r="M76" s="3">
        <v>43791</v>
      </c>
      <c r="N76" t="inlineStr">
        <is>
          <t>Seattle Genetics, Inc.</t>
        </is>
      </c>
      <c r="O76" t="inlineStr">
        <is>
          <t>Seattle Genetics, Inc.</t>
        </is>
      </c>
      <c r="P76" s="3">
        <v>43761</v>
      </c>
      <c r="Q76" t="inlineStr">
        <is>
          <t>New Indication</t>
        </is>
      </c>
      <c r="T76" s="3">
        <v>43837</v>
      </c>
      <c r="U76" s="3">
        <v>43909</v>
      </c>
      <c r="X76" s="3">
        <v>43972</v>
      </c>
      <c r="Y76" s="3">
        <v>44001</v>
      </c>
    </row>
    <row r="77">
      <c r="A77" s="2">
        <f>HYPERLINK("https://www.cadth.ca/glasdegib-daurismo-acute-myeloid-leukemia-details", "Daurismo")</f>
        <v>0</v>
      </c>
      <c r="B77" t="inlineStr">
        <is>
          <t>Glasdegib</t>
        </is>
      </c>
      <c r="C77" t="inlineStr">
        <is>
          <t>Leukemia Acute Myeloid Leukemia (AML)</t>
        </is>
      </c>
      <c r="E77" t="inlineStr">
        <is>
          <t>Open for Feedback on Recommendation</t>
        </is>
      </c>
      <c r="F77" s="3">
        <v>43957</v>
      </c>
      <c r="H77" t="inlineStr">
        <is>
          <t>pCODR 10207</t>
        </is>
      </c>
      <c r="I77" t="inlineStr">
        <is>
          <t>25 mg and 100 mg</t>
        </is>
      </c>
      <c r="J77" t="inlineStr">
        <is>
          <t>Leukemia</t>
        </is>
      </c>
      <c r="K77" t="inlineStr">
        <is>
          <t>In combination with low-dose cytarabine, for the treatment of newly diagnosed and previously untreated acute myeloid leukemia (AML) in adult patients, who are age ≥75 years or who are not eligible to receive intensive induction chemotherapy.</t>
        </is>
      </c>
      <c r="L77" t="inlineStr">
        <is>
          <t>Yes</t>
        </is>
      </c>
      <c r="M77" s="3">
        <v>43949</v>
      </c>
      <c r="N77" t="inlineStr">
        <is>
          <t>Pfizer Canada ULC</t>
        </is>
      </c>
      <c r="O77" t="inlineStr">
        <is>
          <t>Pfizer Canada ULC</t>
        </is>
      </c>
      <c r="P77" s="3">
        <v>44000</v>
      </c>
      <c r="Q77" t="inlineStr">
        <is>
          <t>New Drug</t>
        </is>
      </c>
      <c r="T77" s="3">
        <v>44041</v>
      </c>
      <c r="U77" s="3">
        <v>44119</v>
      </c>
    </row>
    <row r="78">
      <c r="A78" s="2">
        <f>HYPERLINK("https://www.cadth.ca/abiraterone-zytiga-prostate-cancer-resubmission-details", "Zytiga (Resubmission)")</f>
        <v>0</v>
      </c>
      <c r="B78" t="inlineStr">
        <is>
          <t>Abiraterone</t>
        </is>
      </c>
      <c r="C78" t="inlineStr">
        <is>
          <t>Genitourinary Prostate Cancer</t>
        </is>
      </c>
      <c r="E78" t="inlineStr">
        <is>
          <t>Suspended</t>
        </is>
      </c>
      <c r="F78" s="3">
        <v>43675</v>
      </c>
      <c r="H78" t="inlineStr">
        <is>
          <t>pCODR 10201</t>
        </is>
      </c>
      <c r="I78" t="inlineStr">
        <is>
          <t>250 mg &amp; 500 mg</t>
        </is>
      </c>
      <c r="J78" t="inlineStr">
        <is>
          <t>Genitourinary</t>
        </is>
      </c>
      <c r="K78" t="inlineStr">
        <is>
          <t>Newly diagnosed high-risk metastatic castration sensitive prostate cancer without small-cell histologic features. Patients required to have at least two of the three following high-risk factors: Gleason score of 8 or more, at least 3 bone lesions, and presence of visceral metastasis. Less than 3 months of androgen deprivation therapy (or orchiectomy) for metastatic disease. Eligible for abiraterone therapy.</t>
        </is>
      </c>
      <c r="L78" t="inlineStr">
        <is>
          <t>No</t>
        </is>
      </c>
      <c r="M78" s="3">
        <v>43146</v>
      </c>
      <c r="N78" t="inlineStr">
        <is>
          <t>Janssen Inc.</t>
        </is>
      </c>
      <c r="O78" t="inlineStr">
        <is>
          <t>BC Cancer Agency</t>
        </is>
      </c>
      <c r="P78" s="3">
        <v>43767</v>
      </c>
      <c r="Q78" t="inlineStr">
        <is>
          <t>New Indication</t>
        </is>
      </c>
      <c r="Z78" t="inlineStr">
        <is>
          <t>The timeline of the review has been temporarily suspended, pending the receipt of additional information from the sponsor.</t>
        </is>
      </c>
    </row>
    <row r="79">
      <c r="A79" s="2">
        <f>HYPERLINK("https://www.cadth.ca/darolutamide-nubeqa-non-metastatic-castration-resistant-prostate-cancer-details", "Nubeqa")</f>
        <v>0</v>
      </c>
      <c r="B79" t="inlineStr">
        <is>
          <t>Darolutamide</t>
        </is>
      </c>
      <c r="C79" t="inlineStr">
        <is>
          <t>Genitourinary Non-Metastatic Castration Resistant Prostate Cancer</t>
        </is>
      </c>
      <c r="E79" t="inlineStr">
        <is>
          <t>Notification to Implement Issued</t>
        </is>
      </c>
      <c r="F79" s="3">
        <v>43704</v>
      </c>
      <c r="G79" s="3">
        <v>43943</v>
      </c>
      <c r="H79" t="inlineStr">
        <is>
          <t>pCODR 10196</t>
        </is>
      </c>
      <c r="I79" t="inlineStr">
        <is>
          <t>300 mg</t>
        </is>
      </c>
      <c r="J79" t="inlineStr">
        <is>
          <t>Genitourinary</t>
        </is>
      </c>
      <c r="K79" t="inlineStr">
        <is>
          <t>In combination with androgen depravation therapy (ADT), for the treatment of patients with non-metastatic castration resistant prostate cancer who are at high risk of developing metastases (high risk defined as prostate-specific antigen doubling time ≤ 10 months) during continuous ADT, and have a good Eastern Cooperative Oncology Group (ECOG) performance status</t>
        </is>
      </c>
      <c r="L79" t="inlineStr">
        <is>
          <t>Yes</t>
        </is>
      </c>
      <c r="M79" s="3">
        <v>43881</v>
      </c>
      <c r="N79" t="inlineStr">
        <is>
          <t>Bayer Inc.</t>
        </is>
      </c>
      <c r="O79" t="inlineStr">
        <is>
          <t>Bayer Inc.</t>
        </is>
      </c>
      <c r="P79" s="3">
        <v>43719</v>
      </c>
      <c r="Q79" t="inlineStr">
        <is>
          <t>New Drug</t>
        </is>
      </c>
      <c r="T79" s="3">
        <v>43781</v>
      </c>
      <c r="U79" s="3">
        <v>43909</v>
      </c>
      <c r="Y79" s="3">
        <v>43958</v>
      </c>
    </row>
    <row r="80">
      <c r="A80" s="2">
        <f>HYPERLINK("https://www.cadth.ca/pegaspargase-oncaspar-adult-acute-lymphocytic-leukemia-all-details", "Oncaspar")</f>
        <v>0</v>
      </c>
      <c r="B80" t="inlineStr">
        <is>
          <t>Pegaspargase</t>
        </is>
      </c>
      <c r="C80" t="inlineStr">
        <is>
          <t>Leukemia Adult Acute Lymphocytic Leukemia (ALL)</t>
        </is>
      </c>
      <c r="E80" t="inlineStr">
        <is>
          <t>Not Filed</t>
        </is>
      </c>
      <c r="J80" t="inlineStr">
        <is>
          <t>Leukemia</t>
        </is>
      </c>
      <c r="N80" t="inlineStr">
        <is>
          <t>Servier Canada Inc.</t>
        </is>
      </c>
      <c r="Q80" t="inlineStr">
        <is>
          <t>Non-Submission</t>
        </is>
      </c>
      <c r="Z80" t="inlineStr">
        <is>
          <t>CADTH is unable to recommend reimbursement of the relevant product because a submission to CADTH was not filed by the manufacturer.</t>
        </is>
      </c>
    </row>
    <row r="81">
      <c r="A81" s="2">
        <f>HYPERLINK("https://www.cadth.ca/erbitux-metastatic-colorectal-cancer-details", "Erbitux")</f>
        <v>0</v>
      </c>
      <c r="B81" t="inlineStr">
        <is>
          <t>Cetuximab</t>
        </is>
      </c>
      <c r="C81" t="inlineStr">
        <is>
          <t>Gastrointestinal Metastatic Colorectal Cancer</t>
        </is>
      </c>
      <c r="E81" t="inlineStr">
        <is>
          <t>Notification to Implement Issued</t>
        </is>
      </c>
      <c r="F81" s="3">
        <v>41435</v>
      </c>
      <c r="G81" s="3">
        <v>41649</v>
      </c>
      <c r="H81" t="inlineStr">
        <is>
          <t>pCODR 10031</t>
        </is>
      </c>
      <c r="I81" t="inlineStr">
        <is>
          <t>2mg/ml, 100mg, 50ml single use vial</t>
        </is>
      </c>
      <c r="J81" t="inlineStr">
        <is>
          <t>Gastrointestinal</t>
        </is>
      </c>
      <c r="K81" t="inlineStr">
        <is>
          <t>For the treatment of EGFR-expressing K-RAS wild Type metastatic colorectal carcinoma (mCRC) in combination with FOLFIRI (Irinotecan, 5-fluorouracil, leucovorin) for first line treatment</t>
        </is>
      </c>
      <c r="L81" t="inlineStr">
        <is>
          <t>No</t>
        </is>
      </c>
      <c r="M81" s="3">
        <v>41263</v>
      </c>
      <c r="N81" t="inlineStr">
        <is>
          <t>Bristol-Myers Squibb Canada</t>
        </is>
      </c>
      <c r="O81" t="inlineStr">
        <is>
          <t>pCODR Provincial Advisory Group</t>
        </is>
      </c>
      <c r="P81" s="3">
        <v>41446</v>
      </c>
      <c r="Q81" t="inlineStr">
        <is>
          <t>New Indication</t>
        </is>
      </c>
      <c r="R81" t="inlineStr">
        <is>
          <t>Not Requested</t>
        </is>
      </c>
      <c r="T81" s="3">
        <v>41513</v>
      </c>
      <c r="U81" s="3">
        <v>41564</v>
      </c>
      <c r="X81" s="3">
        <v>41627</v>
      </c>
      <c r="Y81" s="3">
        <v>41666</v>
      </c>
      <c r="Z81" t="inlineStr">
        <is>
          <t>Bristol-Myers Squibb Canada had requested a voluntary withdrawal of the Cetuximab (Erbitux) for mCRC Submission in anticipation of new clinical information and possible resubmission. As per pCODR Procedures B3.1.6.2 b), the pCODR Provincial Advisory Group has decided to continue the review as a PAG Submission in order to obtain a final recommendation that provinces can act on if needed.</t>
        </is>
      </c>
    </row>
    <row r="82">
      <c r="A82" s="2">
        <f>HYPERLINK("https://www.cadth.ca/inlyta-metastatic-renal-cell-carcinoma-mrcc-details", "Inlyta")</f>
        <v>0</v>
      </c>
      <c r="B82" t="inlineStr">
        <is>
          <t>Axitinib</t>
        </is>
      </c>
      <c r="C82" t="inlineStr">
        <is>
          <t>Genitourinary Metastatic Renal Cell Carcinoma</t>
        </is>
      </c>
      <c r="E82" t="inlineStr">
        <is>
          <t>Notification to Implement Issued</t>
        </is>
      </c>
      <c r="F82" s="3">
        <v>41137</v>
      </c>
      <c r="G82" s="3">
        <v>41340</v>
      </c>
      <c r="H82" t="inlineStr">
        <is>
          <t>pCODR 10013</t>
        </is>
      </c>
      <c r="I82" t="inlineStr">
        <is>
          <t>1mg and 5mg</t>
        </is>
      </c>
      <c r="J82" t="inlineStr">
        <is>
          <t>Genitourinary</t>
        </is>
      </c>
      <c r="K82" t="inlineStr">
        <is>
          <t>For the treatment of patients with metastatic renal cell carcinoma (RCC) of clear histology after failure of prior systemic therapy with either a cytokine or the VEGFR-TKI, sunitinib</t>
        </is>
      </c>
      <c r="L82" t="inlineStr">
        <is>
          <t>No</t>
        </is>
      </c>
      <c r="M82" s="3">
        <v>41102</v>
      </c>
      <c r="N82" t="inlineStr">
        <is>
          <t>Pfizer Canada Inc.</t>
        </is>
      </c>
      <c r="O82" t="inlineStr">
        <is>
          <t>Pfizer Canada Inc.</t>
        </is>
      </c>
      <c r="P82" s="3">
        <v>41144</v>
      </c>
      <c r="Q82" t="inlineStr">
        <is>
          <t>New Drug</t>
        </is>
      </c>
      <c r="R82" t="inlineStr">
        <is>
          <t>Not Requested</t>
        </is>
      </c>
      <c r="T82" s="3">
        <v>41192</v>
      </c>
      <c r="U82" s="3">
        <v>41263</v>
      </c>
      <c r="X82" s="3">
        <v>41326</v>
      </c>
      <c r="Y82" s="3">
        <v>41355</v>
      </c>
    </row>
    <row r="83">
      <c r="A83" s="2">
        <f>HYPERLINK("https://www.cadth.ca/perjeta-or-perjeta-herceptin-combo-pack-neoadjuvant-breast-cancer-details", "Perjeta or Perjeta-Herceptin Combo Pack")</f>
        <v>0</v>
      </c>
      <c r="B83" t="inlineStr">
        <is>
          <t>Pertuzumab</t>
        </is>
      </c>
      <c r="C83" t="inlineStr">
        <is>
          <t>Breast Neoadjuvant Breast Cancer</t>
        </is>
      </c>
      <c r="E83" t="inlineStr">
        <is>
          <t>Notification to Implement Issued</t>
        </is>
      </c>
      <c r="F83" s="3">
        <v>41992</v>
      </c>
      <c r="G83" s="3">
        <v>42201</v>
      </c>
      <c r="H83" t="inlineStr">
        <is>
          <t>pCODR 10050</t>
        </is>
      </c>
      <c r="I83" t="inlineStr">
        <is>
          <t>420 mg /vial</t>
        </is>
      </c>
      <c r="J83" t="inlineStr">
        <is>
          <t>Breast</t>
        </is>
      </c>
      <c r="K83" t="inlineStr">
        <is>
          <t>In combination with trastuzumab and chemotherapy prior to surgery for the treatment of patients with HER2-positive, locally advanced, inflammatory, or early stage breast cancer (&gt;2 cm in diameter or node positive) as part of a complete treatment regimen for early stage breast cancer</t>
        </is>
      </c>
      <c r="L83" t="inlineStr">
        <is>
          <t>Yes</t>
        </is>
      </c>
      <c r="M83" s="3" t="inlineStr">
        <is>
          <t>N/A</t>
        </is>
      </c>
      <c r="N83" t="inlineStr">
        <is>
          <t>Hoffmann-La Roche Limited</t>
        </is>
      </c>
      <c r="O83" t="inlineStr">
        <is>
          <t>Hoffmann-La Roche Limited</t>
        </is>
      </c>
      <c r="P83" s="3">
        <v>42009</v>
      </c>
      <c r="Q83" t="inlineStr">
        <is>
          <t>New Indication</t>
        </is>
      </c>
      <c r="R83" t="inlineStr">
        <is>
          <t>Requested and Not Granted</t>
        </is>
      </c>
      <c r="T83" s="3">
        <v>42052</v>
      </c>
      <c r="U83" s="3">
        <v>42111</v>
      </c>
      <c r="X83" s="3">
        <v>42187</v>
      </c>
      <c r="Y83" s="3">
        <v>42216</v>
      </c>
      <c r="Z83" t="inlineStr">
        <is>
          <t>Please note that the April pERC meeting was conducted over two days. The original date for the posting of pERC Initial Recommendation remained as April 30, 2015.</t>
        </is>
      </c>
    </row>
    <row r="84">
      <c r="A84" s="2">
        <f>HYPERLINK("https://www.cadth.ca/stivarga-gastrointestinal-stromal-tumours-details", "Stivarga (GIST)")</f>
        <v>0</v>
      </c>
      <c r="B84" t="inlineStr">
        <is>
          <t>Regorafenib</t>
        </is>
      </c>
      <c r="C84" t="inlineStr">
        <is>
          <t>Other Gastrointestinal Stromal Tumours</t>
        </is>
      </c>
      <c r="E84" t="inlineStr">
        <is>
          <t>Notification to Implement Issued</t>
        </is>
      </c>
      <c r="F84" s="3">
        <v>41558</v>
      </c>
      <c r="G84" s="3">
        <v>41761</v>
      </c>
      <c r="H84" t="inlineStr">
        <is>
          <t>pCODR 10034</t>
        </is>
      </c>
      <c r="I84" t="inlineStr">
        <is>
          <t>40 mg Tablets</t>
        </is>
      </c>
      <c r="J84" t="inlineStr">
        <is>
          <t>Other</t>
        </is>
      </c>
      <c r="K84" t="inlineStr">
        <is>
          <t>Treatment of patients with metastatic and/or unresectable gastrointestinal stromal tumours (GIST) who have had disease progression on or intolerance to imatinib mesylate, and sunitinib malate treatment</t>
        </is>
      </c>
      <c r="L84" t="inlineStr">
        <is>
          <t>No</t>
        </is>
      </c>
      <c r="M84" s="3">
        <v>41551</v>
      </c>
      <c r="N84" t="inlineStr">
        <is>
          <t>Bayer Inc.</t>
        </is>
      </c>
      <c r="O84" t="inlineStr">
        <is>
          <t>Bayer Inc.</t>
        </is>
      </c>
      <c r="P84" s="3">
        <v>41576</v>
      </c>
      <c r="Q84" t="inlineStr">
        <is>
          <t>New Indication</t>
        </is>
      </c>
      <c r="R84" t="inlineStr">
        <is>
          <t>Not Requested</t>
        </is>
      </c>
      <c r="U84" s="3">
        <v>41690</v>
      </c>
      <c r="X84" s="3">
        <v>41746</v>
      </c>
      <c r="Y84" s="3">
        <v>41779</v>
      </c>
    </row>
    <row r="85">
      <c r="A85" s="2">
        <f>HYPERLINK("https://www.cadth.ca/sutent-pancreatic-neuroendocrine-tumours-details", "Sutent")</f>
        <v>0</v>
      </c>
      <c r="B85" t="inlineStr">
        <is>
          <t>Sunitinib malate</t>
        </is>
      </c>
      <c r="C85" t="inlineStr">
        <is>
          <t>Gastrointestinal Pancreatic neuroendocrine tumours</t>
        </is>
      </c>
      <c r="E85" t="inlineStr">
        <is>
          <t>Notification to Implement Issued</t>
        </is>
      </c>
      <c r="F85" s="3">
        <v>40854</v>
      </c>
      <c r="G85" s="3">
        <v>41032</v>
      </c>
      <c r="H85" t="inlineStr">
        <is>
          <t>pCODR 10004</t>
        </is>
      </c>
      <c r="I85" t="inlineStr">
        <is>
          <t>12.5mg, 25mg, 50mg</t>
        </is>
      </c>
      <c r="J85" t="inlineStr">
        <is>
          <t>Gastrointestinal</t>
        </is>
      </c>
      <c r="K85" t="inlineStr">
        <is>
          <t>Patients with unresectable locally advanced or metastatic, well-differentiated pancreatic neuroendocrine tumours, whose disease is progressive</t>
        </is>
      </c>
      <c r="L85" t="inlineStr">
        <is>
          <t>No</t>
        </is>
      </c>
      <c r="M85" s="3">
        <v>40724</v>
      </c>
      <c r="N85" t="inlineStr">
        <is>
          <t>Pfizer Canada Inc.</t>
        </is>
      </c>
      <c r="O85" t="inlineStr">
        <is>
          <t>Pfizer Canada Inc.</t>
        </is>
      </c>
      <c r="P85" s="3">
        <v>40861</v>
      </c>
      <c r="Q85" t="inlineStr">
        <is>
          <t>New Indication</t>
        </is>
      </c>
      <c r="R85" t="inlineStr">
        <is>
          <t>Not Requested</t>
        </is>
      </c>
      <c r="T85" s="3">
        <v>40917</v>
      </c>
      <c r="U85" s="3">
        <v>40955</v>
      </c>
      <c r="X85" s="3">
        <v>41018</v>
      </c>
      <c r="Y85" s="3">
        <v>41047</v>
      </c>
    </row>
    <row r="86">
      <c r="A86" s="2">
        <f>HYPERLINK("https://www.cadth.ca/treanda-chronic-lymphocytic-leukemia-first-line", "Treanda")</f>
        <v>0</v>
      </c>
      <c r="B86" t="inlineStr">
        <is>
          <t>Bendamustine hydrochloride</t>
        </is>
      </c>
      <c r="C86" t="inlineStr">
        <is>
          <t>Leukemia Chronic lymphocytic leukemia (First Line)</t>
        </is>
      </c>
      <c r="E86" t="inlineStr">
        <is>
          <t>Notification to Implement Issued</t>
        </is>
      </c>
      <c r="F86" s="3">
        <v>41023</v>
      </c>
      <c r="G86" s="3">
        <v>41324</v>
      </c>
      <c r="H86" t="inlineStr">
        <is>
          <t>pCODR 10011</t>
        </is>
      </c>
      <c r="I86" t="inlineStr">
        <is>
          <t>25mg/vial and 100mg/vial</t>
        </is>
      </c>
      <c r="J86" t="inlineStr">
        <is>
          <t>Leukemia</t>
        </is>
      </c>
      <c r="K86" t="inlineStr">
        <is>
          <t>Patients with Chronic Lymphocytic Leukemia (first line) for whom fludarabine-based therapy is not appropriate</t>
        </is>
      </c>
      <c r="L86" t="inlineStr">
        <is>
          <t>Yes</t>
        </is>
      </c>
      <c r="M86" s="3">
        <v>41145</v>
      </c>
      <c r="N86" t="inlineStr">
        <is>
          <t>Lundbeck Canada Inc.</t>
        </is>
      </c>
      <c r="O86" t="inlineStr">
        <is>
          <t>Lundbeck Canada Inc.</t>
        </is>
      </c>
      <c r="P86" s="3">
        <v>41030</v>
      </c>
      <c r="Q86" t="inlineStr">
        <is>
          <t>New Drug</t>
        </is>
      </c>
      <c r="R86" t="inlineStr">
        <is>
          <t>Not Requested</t>
        </is>
      </c>
      <c r="T86" s="3">
        <v>41087</v>
      </c>
      <c r="U86" s="3">
        <v>41291</v>
      </c>
      <c r="Y86" s="3">
        <v>41339</v>
      </c>
      <c r="Z86" t="inlineStr">
        <is>
          <t>Time required for the submitter to provide additional information has impacted the review timeline.</t>
        </is>
      </c>
    </row>
    <row r="87">
      <c r="A87" s="2">
        <f>HYPERLINK("https://www.cadth.ca/votrient-soft-tissue-sarcoma", "Votrient")</f>
        <v>0</v>
      </c>
      <c r="B87" t="inlineStr">
        <is>
          <t>Pazopanib Hydrochloride</t>
        </is>
      </c>
      <c r="C87" t="inlineStr">
        <is>
          <t>Sarcoma Soft Tissue Sarcoma (STS)</t>
        </is>
      </c>
      <c r="E87" t="inlineStr">
        <is>
          <t>Notification to Implement Issued</t>
        </is>
      </c>
      <c r="F87" s="3">
        <v>41064</v>
      </c>
      <c r="G87" s="3">
        <v>41242</v>
      </c>
      <c r="H87" t="inlineStr">
        <is>
          <t>pCODR 10009</t>
        </is>
      </c>
      <c r="I87" t="inlineStr">
        <is>
          <t>200 mg</t>
        </is>
      </c>
      <c r="J87" t="inlineStr">
        <is>
          <t>Sarcoma</t>
        </is>
      </c>
      <c r="K87" t="inlineStr">
        <is>
          <t>Adult patients with selective subtypes of advanced Soft Tissue Sarcoma (STS) who have received prior chemotherapy for metastatic disease or who have progressed within 12 months after (neo)adjuvant therapy. Funding is not requested for patients with GIST and adipocytic soft tissue sarcomas.</t>
        </is>
      </c>
      <c r="L87" t="inlineStr">
        <is>
          <t>Yes</t>
        </is>
      </c>
      <c r="M87" s="3">
        <v>41102</v>
      </c>
      <c r="N87" t="inlineStr">
        <is>
          <t>GlaxoSmithKline Inc.</t>
        </is>
      </c>
      <c r="O87" t="inlineStr">
        <is>
          <t>GlaxoSmithKline Inc.</t>
        </is>
      </c>
      <c r="P87" s="3">
        <v>41071</v>
      </c>
      <c r="Q87" t="inlineStr">
        <is>
          <t>New Indication</t>
        </is>
      </c>
      <c r="R87" t="inlineStr">
        <is>
          <t>Not Requested</t>
        </is>
      </c>
      <c r="T87" s="3">
        <v>41114</v>
      </c>
      <c r="U87" s="3">
        <v>41172</v>
      </c>
      <c r="X87" s="3">
        <v>41228</v>
      </c>
      <c r="Y87" s="3">
        <v>41257</v>
      </c>
    </row>
    <row r="88">
      <c r="A88" s="2">
        <f>HYPERLINK("https://www.cadth.ca/xtandi-metastatic-castration-resistant-prostate-cancer-details", "Xtandi")</f>
        <v>0</v>
      </c>
      <c r="B88" t="inlineStr">
        <is>
          <t>Enzalutamide</t>
        </is>
      </c>
      <c r="C88" t="inlineStr">
        <is>
          <t>Genitourinary Metastatic Castration Resistant Prostate Cancer</t>
        </is>
      </c>
      <c r="E88" t="inlineStr">
        <is>
          <t>Notification to Implement Issued</t>
        </is>
      </c>
      <c r="F88" s="3">
        <v>41337</v>
      </c>
      <c r="G88" s="3">
        <v>41478</v>
      </c>
      <c r="H88" t="inlineStr">
        <is>
          <t>pCODR 10023</t>
        </is>
      </c>
      <c r="I88" t="inlineStr">
        <is>
          <t>40 mg tablet</t>
        </is>
      </c>
      <c r="J88" t="inlineStr">
        <is>
          <t>Genitourinary</t>
        </is>
      </c>
      <c r="K88" t="inlineStr">
        <is>
          <t>For the treatment of patients with metastatic castration-resistant prostate cancer, who have previously received docetaxel therapy</t>
        </is>
      </c>
      <c r="L88" t="inlineStr">
        <is>
          <t>Yes</t>
        </is>
      </c>
      <c r="M88" s="3">
        <v>41423</v>
      </c>
      <c r="N88" t="inlineStr">
        <is>
          <t>Astellas Pharma Canada Inc.</t>
        </is>
      </c>
      <c r="O88" t="inlineStr">
        <is>
          <t>Astellas Pharma Canada Inc.</t>
        </is>
      </c>
      <c r="P88" s="3">
        <v>41352</v>
      </c>
      <c r="Q88" t="inlineStr">
        <is>
          <t>New Drug</t>
        </is>
      </c>
      <c r="R88" t="inlineStr">
        <is>
          <t>Not Requested</t>
        </is>
      </c>
      <c r="T88" s="3">
        <v>41394</v>
      </c>
      <c r="U88" s="3">
        <v>41445</v>
      </c>
      <c r="Y88" s="3">
        <v>41494</v>
      </c>
    </row>
    <row r="89">
      <c r="A89" s="2">
        <f>HYPERLINK("https://www.cadth.ca/imbruvica-chronic-lymphocytic-leukemiasmall-lymphocytic-lymphoma-previously-treated-details", "Imbruvica")</f>
        <v>0</v>
      </c>
      <c r="B89" t="inlineStr">
        <is>
          <t>Ibrutinib</t>
        </is>
      </c>
      <c r="C89" t="inlineStr">
        <is>
          <t>Leukemia Chronic Lymphocytic Leukemia/ Small Lymphocytic Lymphoma (previously treated)</t>
        </is>
      </c>
      <c r="E89" t="inlineStr">
        <is>
          <t>Notification to Implement Issued</t>
        </is>
      </c>
      <c r="F89" s="3">
        <v>41866</v>
      </c>
      <c r="G89" s="3">
        <v>42068</v>
      </c>
      <c r="H89" t="inlineStr">
        <is>
          <t>pCODR 10043</t>
        </is>
      </c>
      <c r="I89" t="inlineStr">
        <is>
          <t>140 mg capsule</t>
        </is>
      </c>
      <c r="J89" t="inlineStr">
        <is>
          <t>Leukemia</t>
        </is>
      </c>
      <c r="K89" t="inlineStr">
        <is>
          <t>For the treatment of patients with CLL/SLL with or without deletion 17p who have received at least one prior therapy and are not considered appropriate for treatment or re-treatment with a purine analog (e.g., fludarabine)</t>
        </is>
      </c>
      <c r="L89" t="inlineStr">
        <is>
          <t>Yes</t>
        </is>
      </c>
      <c r="M89" s="3">
        <v>41960</v>
      </c>
      <c r="N89" t="inlineStr">
        <is>
          <t>Janssen Inc.</t>
        </is>
      </c>
      <c r="O89" t="inlineStr">
        <is>
          <t>Janssen Inc.</t>
        </is>
      </c>
      <c r="P89" s="3">
        <v>41873</v>
      </c>
      <c r="Q89" t="inlineStr">
        <is>
          <t>New Drug</t>
        </is>
      </c>
      <c r="R89" t="inlineStr">
        <is>
          <t>Requested and Granted</t>
        </is>
      </c>
      <c r="T89" s="3">
        <v>41915</v>
      </c>
      <c r="U89" s="3">
        <v>41991</v>
      </c>
      <c r="X89" s="3">
        <v>42054</v>
      </c>
      <c r="Y89" s="3">
        <v>42083</v>
      </c>
      <c r="Z89" t="inlineStr">
        <is>
          <t>A delay in the receipt of marketing authorization (NOC) from Health Canada has impacted the review timeline.</t>
        </is>
      </c>
    </row>
    <row r="90">
      <c r="A90" s="2">
        <f>HYPERLINK("https://www.cadth.ca/afinitor-pancreatic-neuroendocrine-tumours-details", "Afinitor")</f>
        <v>0</v>
      </c>
      <c r="B90" t="inlineStr">
        <is>
          <t>Everolimus</t>
        </is>
      </c>
      <c r="C90" t="inlineStr">
        <is>
          <t>Gastrointestinal Pancreatic neuroendocrine tumours</t>
        </is>
      </c>
      <c r="E90" t="inlineStr">
        <is>
          <t>Notification to Implement Issued</t>
        </is>
      </c>
      <c r="F90" s="3">
        <v>40966</v>
      </c>
      <c r="G90" s="3">
        <v>41151</v>
      </c>
      <c r="H90" t="inlineStr">
        <is>
          <t>pCODR 10007</t>
        </is>
      </c>
      <c r="I90" t="inlineStr">
        <is>
          <t>2.5 mg, 5 mg and 10 mg</t>
        </is>
      </c>
      <c r="J90" t="inlineStr">
        <is>
          <t>Gastrointestinal</t>
        </is>
      </c>
      <c r="K90" t="inlineStr">
        <is>
          <t>Patients with well- or moderately differentiated neuroendocrine tumours of pancreatic origin (pNET) in patients with unresectable, locally advanced or metastatic disease.</t>
        </is>
      </c>
      <c r="L90" t="inlineStr">
        <is>
          <t>No</t>
        </is>
      </c>
      <c r="M90" s="3">
        <v>40941</v>
      </c>
      <c r="N90" t="inlineStr">
        <is>
          <t>Novartis Pharmaceuticals Canada Inc.</t>
        </is>
      </c>
      <c r="O90" t="inlineStr">
        <is>
          <t>Novartis Pharmaceuticals Canada Inc.</t>
        </is>
      </c>
      <c r="P90" s="3">
        <v>40973</v>
      </c>
      <c r="Q90" t="inlineStr">
        <is>
          <t>New Indication</t>
        </is>
      </c>
      <c r="R90" t="inlineStr">
        <is>
          <t>Not Requested</t>
        </is>
      </c>
      <c r="T90" s="3">
        <v>41017</v>
      </c>
      <c r="U90" s="3">
        <v>41081</v>
      </c>
      <c r="X90" s="3">
        <v>41137</v>
      </c>
      <c r="Y90" s="3">
        <v>41169</v>
      </c>
    </row>
    <row r="91">
      <c r="A91" s="2">
        <f>HYPERLINK("https://www.cadth.ca/avastin-ovarian-cancer-details", "Avastin")</f>
        <v>0</v>
      </c>
      <c r="B91" t="inlineStr">
        <is>
          <t>Bevacizumab</t>
        </is>
      </c>
      <c r="C91" t="inlineStr">
        <is>
          <t>Gynecology Ovarian Cancer</t>
        </is>
      </c>
      <c r="E91" t="inlineStr">
        <is>
          <t>Notification to Implement Issued</t>
        </is>
      </c>
      <c r="F91" s="3">
        <v>41971</v>
      </c>
      <c r="G91" s="3">
        <v>42159</v>
      </c>
      <c r="H91" t="inlineStr">
        <is>
          <t>pCODR 10047</t>
        </is>
      </c>
      <c r="I91" t="inlineStr">
        <is>
          <t>25mg/mL</t>
        </is>
      </c>
      <c r="J91" t="inlineStr">
        <is>
          <t>Gynecology</t>
        </is>
      </c>
      <c r="K91" t="inlineStr">
        <is>
          <t>In combination with paclitaxel and carboplatin for the front-line treatment of epithelial ovarian, fallopian tube or primary peritoneal cancer patients with high risk of relapse (stage III sub-optimally debulked, or stage III unresectable, or stage IV patients</t>
        </is>
      </c>
      <c r="L91" t="inlineStr">
        <is>
          <t>Yes</t>
        </is>
      </c>
      <c r="M91" s="3" t="inlineStr">
        <is>
          <t>N/A</t>
        </is>
      </c>
      <c r="N91" t="inlineStr">
        <is>
          <t>Hoffmann-La Roche Limited</t>
        </is>
      </c>
      <c r="O91" t="inlineStr">
        <is>
          <t>Hoffmann-La Roche Limited</t>
        </is>
      </c>
      <c r="P91" s="3">
        <v>41978</v>
      </c>
      <c r="Q91" t="inlineStr">
        <is>
          <t>New Indication</t>
        </is>
      </c>
      <c r="R91" t="inlineStr">
        <is>
          <t>Requested and Not Granted</t>
        </is>
      </c>
      <c r="T91" s="3">
        <v>42030</v>
      </c>
      <c r="U91" s="3">
        <v>42082</v>
      </c>
      <c r="X91" s="3">
        <v>42145</v>
      </c>
      <c r="Y91" s="3">
        <v>42174</v>
      </c>
    </row>
    <row r="92">
      <c r="A92" s="2">
        <f>HYPERLINK("https://www.cadth.ca/zykadia-metastatic-non-small-cell-lung-cancer-details", "Zykadia")</f>
        <v>0</v>
      </c>
      <c r="B92" t="inlineStr">
        <is>
          <t>Ceritinib</t>
        </is>
      </c>
      <c r="C92" t="inlineStr">
        <is>
          <t>Lung Metastatic Non-Small Cell Lung Cancer</t>
        </is>
      </c>
      <c r="E92" t="inlineStr">
        <is>
          <t>Notification to Implement Issued</t>
        </is>
      </c>
      <c r="F92" s="3">
        <v>42160</v>
      </c>
      <c r="G92" s="3">
        <v>42341</v>
      </c>
      <c r="H92" t="inlineStr">
        <is>
          <t>pCODR 10062</t>
        </is>
      </c>
      <c r="I92" t="inlineStr">
        <is>
          <t>150 mg capsule</t>
        </is>
      </c>
      <c r="J92" t="inlineStr">
        <is>
          <t>Lung</t>
        </is>
      </c>
      <c r="K92" t="inlineStr">
        <is>
          <t>For treatment as monotherapy in patients with anaplastic lymphoma kinase (ALK)-positive locally advanced (not amenable to curative therapy) or metastatic non-small cell lung cancer (NSCLC) who have progressed on or who were intolerant to crizotinib.</t>
        </is>
      </c>
      <c r="L92" t="inlineStr">
        <is>
          <t>No</t>
        </is>
      </c>
      <c r="M92" s="3">
        <v>42090</v>
      </c>
      <c r="N92" t="inlineStr">
        <is>
          <t>Novartis Pharmaceuticals Inc.</t>
        </is>
      </c>
      <c r="O92" t="inlineStr">
        <is>
          <t>Novartis Pharmaceuticals Inc.</t>
        </is>
      </c>
      <c r="P92" s="3">
        <v>42167</v>
      </c>
      <c r="Q92" t="inlineStr">
        <is>
          <t>New Drug</t>
        </is>
      </c>
      <c r="R92" t="inlineStr">
        <is>
          <t>Not Requested</t>
        </is>
      </c>
      <c r="T92" s="3">
        <v>42214</v>
      </c>
      <c r="U92" s="3">
        <v>42264</v>
      </c>
      <c r="X92" s="3">
        <v>42327</v>
      </c>
      <c r="Y92" s="3">
        <v>42356</v>
      </c>
    </row>
    <row r="93">
      <c r="A93" s="2">
        <f>HYPERLINK("https://www.cadth.ca/tagrisso-non-small-cell-lung-cancer-details", "Tagrisso")</f>
        <v>0</v>
      </c>
      <c r="B93" t="inlineStr">
        <is>
          <t>Osimertinib</t>
        </is>
      </c>
      <c r="C93" t="inlineStr">
        <is>
          <t>Lung Non-Small Cell Lung Cancer</t>
        </is>
      </c>
      <c r="E93" t="inlineStr">
        <is>
          <t>Notification to Implement Issued</t>
        </is>
      </c>
      <c r="F93" s="3">
        <v>42461</v>
      </c>
      <c r="G93" s="3">
        <v>42859</v>
      </c>
      <c r="H93" t="inlineStr">
        <is>
          <t>pCODR 10076</t>
        </is>
      </c>
      <c r="I93" t="inlineStr">
        <is>
          <t>40 mg and 80 mg Tablets</t>
        </is>
      </c>
      <c r="J93" t="inlineStr">
        <is>
          <t>Lung</t>
        </is>
      </c>
      <c r="K93" t="inlineStr">
        <is>
          <t>For the treatment of patients with locally advanced or metastatic EGFR T790M mutation-positive NSCLC who have progressed on or after EGFR TKI therapy</t>
        </is>
      </c>
      <c r="L93" t="inlineStr">
        <is>
          <t>Yes</t>
        </is>
      </c>
      <c r="M93" s="3">
        <v>42556</v>
      </c>
      <c r="N93" t="inlineStr">
        <is>
          <t>Astra Zeneca Canada Inc</t>
        </is>
      </c>
      <c r="O93" t="inlineStr">
        <is>
          <t>Astra Zeneca Canada Inc</t>
        </is>
      </c>
      <c r="P93" s="3">
        <v>42468</v>
      </c>
      <c r="Q93" t="inlineStr">
        <is>
          <t>New Drug</t>
        </is>
      </c>
      <c r="R93" t="inlineStr">
        <is>
          <t>Requested and Not Granted</t>
        </is>
      </c>
      <c r="T93" s="3">
        <v>42514</v>
      </c>
      <c r="U93" s="3">
        <v>42782</v>
      </c>
      <c r="X93" s="3">
        <v>42845</v>
      </c>
      <c r="Y93" s="3">
        <v>42874</v>
      </c>
      <c r="Z93" t="inlineStr">
        <is>
          <t>The timeline of the review was temporarily stopped, pending receipt of the additional information from the submitter.  The timeline of the review has resumed as the additional information has now been provided and a new pERC date has been set by pCODR.</t>
        </is>
      </c>
    </row>
    <row r="94">
      <c r="A94" s="2">
        <f>HYPERLINK("https://www.cadth.ca/opdivo-metastatic-renal-cell-carcinoma-details", "Opdivo")</f>
        <v>0</v>
      </c>
      <c r="B94" t="inlineStr">
        <is>
          <t>Nivolumab</t>
        </is>
      </c>
      <c r="C94" t="inlineStr">
        <is>
          <t>Genitourinary Metastatic Renal Cell Carcinoma</t>
        </is>
      </c>
      <c r="E94" t="inlineStr">
        <is>
          <t>Notification to Implement Issued</t>
        </is>
      </c>
      <c r="F94" s="3">
        <v>42424</v>
      </c>
      <c r="G94" s="3">
        <v>42614</v>
      </c>
      <c r="H94" t="inlineStr">
        <is>
          <t>pCODR 10074</t>
        </is>
      </c>
      <c r="I94" t="inlineStr">
        <is>
          <t>40mg and 100mg vials</t>
        </is>
      </c>
      <c r="J94" t="inlineStr">
        <is>
          <t>Genitourinary</t>
        </is>
      </c>
      <c r="K94" t="inlineStr">
        <is>
          <t>For advanced or metastatic renal cell carcinoma in patients who have received prior systemic therapy</t>
        </is>
      </c>
      <c r="L94" t="inlineStr">
        <is>
          <t>Yes</t>
        </is>
      </c>
      <c r="M94" s="3">
        <v>42485</v>
      </c>
      <c r="N94" t="inlineStr">
        <is>
          <t>Bristol Myers-Squibb Canada</t>
        </is>
      </c>
      <c r="O94" t="inlineStr">
        <is>
          <t>Bristol Myers-Squibb Canada</t>
        </is>
      </c>
      <c r="P94" s="3">
        <v>42431</v>
      </c>
      <c r="Q94" t="inlineStr">
        <is>
          <t>New Indication</t>
        </is>
      </c>
      <c r="R94" t="inlineStr">
        <is>
          <t>Requested and Granted</t>
        </is>
      </c>
      <c r="T94" s="3">
        <v>42475</v>
      </c>
      <c r="U94" s="3">
        <v>42537</v>
      </c>
      <c r="X94" s="3">
        <v>42601</v>
      </c>
      <c r="Y94" s="3">
        <v>42632</v>
      </c>
      <c r="Z94" t="inlineStr">
        <is>
          <t>Please note that the August pERC meeting was conducted over two days. The original target date for the posting of pERC Final Recommendation remains as  September 1, 2016.</t>
        </is>
      </c>
    </row>
    <row r="95">
      <c r="A95" s="2">
        <f>HYPERLINK("https://www.cadth.ca/ibrance-advanced-breast-cancer-resubmission-details", "Ibrance Resubmission")</f>
        <v>0</v>
      </c>
      <c r="B95" t="inlineStr">
        <is>
          <t>Palbociclib</t>
        </is>
      </c>
      <c r="C95" t="inlineStr">
        <is>
          <t>Breast Advanced Breast Cancer</t>
        </is>
      </c>
      <c r="E95" t="inlineStr">
        <is>
          <t>Notification to Implement Issued</t>
        </is>
      </c>
      <c r="F95" s="3">
        <v>42531</v>
      </c>
      <c r="G95" s="3">
        <v>42695</v>
      </c>
      <c r="H95" t="inlineStr">
        <is>
          <t>pCODR 10093</t>
        </is>
      </c>
      <c r="I95" t="inlineStr">
        <is>
          <t>75mg, 100mg and 125mg Capsules</t>
        </is>
      </c>
      <c r="J95" t="inlineStr">
        <is>
          <t>Breast</t>
        </is>
      </c>
      <c r="K95" t="inlineStr">
        <is>
          <t>In combination with letrozole, for the treatment of postmenopausal women with estrogen receptor (ER)-positive, human epidermal growth factor receptor 2 (HER2)-negative advanced breast cancer as initial endocrine-based therapy for their metastatic  disease</t>
        </is>
      </c>
      <c r="L95" t="inlineStr">
        <is>
          <t>No</t>
        </is>
      </c>
      <c r="M95" s="3">
        <v>42445</v>
      </c>
      <c r="N95" t="inlineStr">
        <is>
          <t>Pfizer Canada Inc.</t>
        </is>
      </c>
      <c r="O95" t="inlineStr">
        <is>
          <t>Pfizer Canada Inc.</t>
        </is>
      </c>
      <c r="P95" s="3">
        <v>42545</v>
      </c>
      <c r="Q95" t="inlineStr">
        <is>
          <t>Resubmission</t>
        </is>
      </c>
      <c r="R95" t="inlineStr">
        <is>
          <t>Not Requested</t>
        </is>
      </c>
      <c r="T95" s="3">
        <v>42599</v>
      </c>
      <c r="U95" s="3">
        <v>42663</v>
      </c>
      <c r="Y95" s="3">
        <v>42710</v>
      </c>
    </row>
    <row r="96">
      <c r="A96" s="2">
        <f>HYPERLINK("https://www.cadth.ca/opdivo-metastatic-melanoma-details", "Opdivo")</f>
        <v>0</v>
      </c>
      <c r="B96" t="inlineStr">
        <is>
          <t>Nivolumab</t>
        </is>
      </c>
      <c r="C96" t="inlineStr">
        <is>
          <t>Skin and Melanoma Metastatic Melanoma</t>
        </is>
      </c>
      <c r="E96" t="inlineStr">
        <is>
          <t>Notification to Implement Issued</t>
        </is>
      </c>
      <c r="F96" s="3">
        <v>42229</v>
      </c>
      <c r="G96" s="3">
        <v>42461</v>
      </c>
      <c r="H96" t="inlineStr">
        <is>
          <t>pCODR 10063</t>
        </is>
      </c>
      <c r="I96" t="inlineStr">
        <is>
          <t>40mg/4mL and 100mg/10mL vials</t>
        </is>
      </c>
      <c r="J96" t="inlineStr">
        <is>
          <t>Skin and Melanoma</t>
        </is>
      </c>
      <c r="K96" t="inlineStr">
        <is>
          <t>For the treatment of both first-line and previously-treated advanced adult melanoma patients, regardless of BRAF status</t>
        </is>
      </c>
      <c r="L96" t="inlineStr">
        <is>
          <t>Yes</t>
        </is>
      </c>
      <c r="M96" s="3">
        <v>42272</v>
      </c>
      <c r="N96" t="inlineStr">
        <is>
          <t>Bristol-Myers Squibb Canada</t>
        </is>
      </c>
      <c r="O96" t="inlineStr">
        <is>
          <t>Bristol-Myers Squibb Canada</t>
        </is>
      </c>
      <c r="P96" s="3">
        <v>42248</v>
      </c>
      <c r="Q96" t="inlineStr">
        <is>
          <t>New Drug</t>
        </is>
      </c>
      <c r="R96" t="inlineStr">
        <is>
          <t>Requested and Granted</t>
        </is>
      </c>
      <c r="T96" s="3">
        <v>42326</v>
      </c>
      <c r="U96" s="3">
        <v>42390</v>
      </c>
      <c r="X96" s="3">
        <v>42446</v>
      </c>
      <c r="Y96" s="3">
        <v>42478</v>
      </c>
      <c r="Z96" t="inlineStr">
        <is>
          <t>An expanded scope of review has been granted for nivolumab (Opdivo).  In accordance with the pCODR Procedures, the pCODR Provincial Advisory Group (PAG) requested additional information on nivolumab (Opdivo) which extends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is>
      </c>
    </row>
    <row r="97">
      <c r="A97" s="2">
        <f>HYPERLINK("https://www.cadth.ca/blinatumomab-blincyto-acute-lymphoblastic-leukemia-pediatric-details", "Blincyto")</f>
        <v>0</v>
      </c>
      <c r="B97" t="inlineStr">
        <is>
          <t>Blinatumomab</t>
        </is>
      </c>
      <c r="C97" t="inlineStr">
        <is>
          <t>Leukemia Pediatric Acute Lymphoblastic Leukemia (ALL)</t>
        </is>
      </c>
      <c r="E97" t="inlineStr">
        <is>
          <t>Notification to Implement Issued</t>
        </is>
      </c>
      <c r="F97" s="3">
        <v>42790</v>
      </c>
      <c r="G97" s="3">
        <v>42970</v>
      </c>
      <c r="H97" t="inlineStr">
        <is>
          <t>pCODR 10099</t>
        </is>
      </c>
      <c r="I97" t="inlineStr">
        <is>
          <t>38.5mcg vial</t>
        </is>
      </c>
      <c r="J97" t="inlineStr">
        <is>
          <t>Leukemia</t>
        </is>
      </c>
      <c r="K97" t="inlineStr">
        <is>
          <t>For the treatment of pediatric patients with Philadelphia chromosome-negative relapsed or refractory B precursor acute lymphoblastic leukemia (ALL)</t>
        </is>
      </c>
      <c r="L97" t="inlineStr">
        <is>
          <t>Yes</t>
        </is>
      </c>
      <c r="M97" s="3">
        <v>42853</v>
      </c>
      <c r="N97" t="inlineStr">
        <is>
          <t>Amgen Canada Inc.</t>
        </is>
      </c>
      <c r="O97" t="inlineStr">
        <is>
          <t>Amgen Canada Inc.</t>
        </is>
      </c>
      <c r="P97" s="3">
        <v>42797</v>
      </c>
      <c r="Q97" t="inlineStr">
        <is>
          <t>New Indication</t>
        </is>
      </c>
      <c r="R97" t="inlineStr">
        <is>
          <t>Requested and Not Granted</t>
        </is>
      </c>
      <c r="T97" s="3">
        <v>42857</v>
      </c>
      <c r="U97" s="3">
        <v>42936</v>
      </c>
      <c r="Y97" s="3">
        <v>42986</v>
      </c>
      <c r="Z97" t="inlineStr">
        <is>
          <t>The Manufacturer had initially advised that Category 2 submission requirements for a pre-NOC submission would not be available to complete the submission for a June pERC meeting date. An updated target date for the pERC meeting had been set by pCODR, based on the anticipated timing of the manufacturer being able to provide these outstanding submission requirements.</t>
        </is>
      </c>
    </row>
    <row r="98">
      <c r="A98" s="2">
        <f>HYPERLINK("https://www.cadth.ca/alecensaro-non-small-cell-lung-cancer-first-line-details", "Alecensaro")</f>
        <v>0</v>
      </c>
      <c r="B98" t="inlineStr">
        <is>
          <t>Alectinib</t>
        </is>
      </c>
      <c r="C98" t="inlineStr">
        <is>
          <t>Lung Non-Small Cell Lung Cancer (first line)</t>
        </is>
      </c>
      <c r="E98" t="inlineStr">
        <is>
          <t>Notification to Implement Issued</t>
        </is>
      </c>
      <c r="F98" s="3">
        <v>43115</v>
      </c>
      <c r="G98" s="3">
        <v>43306</v>
      </c>
      <c r="H98" t="inlineStr">
        <is>
          <t>pCODR 10125</t>
        </is>
      </c>
      <c r="I98" t="inlineStr">
        <is>
          <t>150 mg</t>
        </is>
      </c>
      <c r="J98" t="inlineStr">
        <is>
          <t>Lung</t>
        </is>
      </c>
      <c r="K98" t="inlineStr">
        <is>
          <t>For the treatment of patients with anaplastic lymphoma kinase (ALK)-positive, locally advanced or metastatic non-small cell lung cancer</t>
        </is>
      </c>
      <c r="L98" t="inlineStr">
        <is>
          <t>Yes</t>
        </is>
      </c>
      <c r="M98" s="3">
        <v>43262</v>
      </c>
      <c r="N98" t="inlineStr">
        <is>
          <t>Hoffmann-La Roche Limited</t>
        </is>
      </c>
      <c r="O98" t="inlineStr">
        <is>
          <t>Hoffmann-La Roche Limited</t>
        </is>
      </c>
      <c r="P98" s="3">
        <v>43122</v>
      </c>
      <c r="Q98" t="inlineStr">
        <is>
          <t>New Indication</t>
        </is>
      </c>
      <c r="R98" t="inlineStr">
        <is>
          <t>Requested and Granted</t>
        </is>
      </c>
      <c r="T98" s="3">
        <v>43165</v>
      </c>
      <c r="U98" s="3">
        <v>43272</v>
      </c>
      <c r="Y98" s="3">
        <v>43322</v>
      </c>
    </row>
    <row r="99">
      <c r="A99" s="2">
        <f>HYPERLINK("https://www.cadth.ca/pembrolizumab-keytruda-classical-hodgkin-lymphoma-details", "Keytruda")</f>
        <v>0</v>
      </c>
      <c r="B99" t="inlineStr">
        <is>
          <t>Pembrolizumab</t>
        </is>
      </c>
      <c r="C99" t="inlineStr">
        <is>
          <t>Lymphoma classical Hodgkin Lymphoma (cHL)</t>
        </is>
      </c>
      <c r="E99" t="inlineStr">
        <is>
          <t>Notification to Implement Issued</t>
        </is>
      </c>
      <c r="F99" s="3">
        <v>42923</v>
      </c>
      <c r="G99" s="3">
        <v>43105</v>
      </c>
      <c r="H99" t="inlineStr">
        <is>
          <t>pCODR 10109</t>
        </is>
      </c>
      <c r="I99" t="inlineStr">
        <is>
          <t>50 mg/vial</t>
        </is>
      </c>
      <c r="J99" t="inlineStr">
        <is>
          <t>Lymphoma</t>
        </is>
      </c>
      <c r="K99" t="inlineStr">
        <is>
          <t>As monotherapy is indicated for the treatment of adult patients with refractory or relapsed classical Hodgkin lymphoma (cHL) who have failed autologous stem cell transplant (ASCT) and brentuximab vedotin (BV) or who are not ASCT candidates and have failed BV</t>
        </is>
      </c>
      <c r="L99" t="inlineStr">
        <is>
          <t>Yes</t>
        </is>
      </c>
      <c r="N99" t="inlineStr">
        <is>
          <t>Merck Canada Inc.</t>
        </is>
      </c>
      <c r="O99" t="inlineStr">
        <is>
          <t>Merck Canada Inc.</t>
        </is>
      </c>
      <c r="P99" s="3">
        <v>42930</v>
      </c>
      <c r="Q99" t="inlineStr">
        <is>
          <t>New Indication</t>
        </is>
      </c>
      <c r="R99" t="inlineStr">
        <is>
          <t>Requested and Granted</t>
        </is>
      </c>
      <c r="T99" s="3">
        <v>42984</v>
      </c>
      <c r="U99" s="3">
        <v>43027</v>
      </c>
      <c r="X99" s="3">
        <v>43083</v>
      </c>
      <c r="Y99" s="3">
        <v>43122</v>
      </c>
    </row>
    <row r="100">
      <c r="A100" s="2">
        <f>HYPERLINK("https://www.cadth.ca/rydapt-acute-myeloid-leukemia-details", "Rydapt")</f>
        <v>0</v>
      </c>
      <c r="B100" t="inlineStr">
        <is>
          <t>Midostaurin</t>
        </is>
      </c>
      <c r="C100" t="inlineStr">
        <is>
          <t>Leukemia Acute Myeloid Leukemia</t>
        </is>
      </c>
      <c r="E100" t="inlineStr">
        <is>
          <t>Notification to Implement Issued</t>
        </is>
      </c>
      <c r="F100" s="3">
        <v>42898</v>
      </c>
      <c r="G100" s="3">
        <v>43088</v>
      </c>
      <c r="H100" t="inlineStr">
        <is>
          <t>pCODR 10108</t>
        </is>
      </c>
      <c r="I100" t="inlineStr">
        <is>
          <t>25 mg</t>
        </is>
      </c>
      <c r="J100" t="inlineStr">
        <is>
          <t>Leukemia</t>
        </is>
      </c>
      <c r="K100" t="inlineStr">
        <is>
          <t>In combination with standard cytarabine and daunorubicin induction and cytarabine consolidation chemotherapy for the treatment of adult patients with newly diagnosed FLT3-mutated acute myeloid leukemia (AML)</t>
        </is>
      </c>
      <c r="L100" t="inlineStr">
        <is>
          <t>Yes</t>
        </is>
      </c>
      <c r="M100" s="3">
        <v>42937</v>
      </c>
      <c r="N100" t="inlineStr">
        <is>
          <t>Novartis Pharmaceuticals Canada Inc.</t>
        </is>
      </c>
      <c r="O100" t="inlineStr">
        <is>
          <t>Novartis Pharmaceuticals Canada Inc.</t>
        </is>
      </c>
      <c r="P100" s="3">
        <v>42905</v>
      </c>
      <c r="Q100" t="inlineStr">
        <is>
          <t>New Drug</t>
        </is>
      </c>
      <c r="R100" t="inlineStr">
        <is>
          <t>Requested and Granted</t>
        </is>
      </c>
      <c r="T100" s="3">
        <v>43004</v>
      </c>
      <c r="U100" s="3">
        <v>43055</v>
      </c>
      <c r="Y100" s="3">
        <v>43111</v>
      </c>
      <c r="Z100" t="inlineStr">
        <is>
          <t>The timeline of the review was temporarily stopped as of July 27, pending receipt of updated economic information from the submitter. The documents were received, and the submission resumed on August 17.</t>
        </is>
      </c>
    </row>
    <row r="101">
      <c r="A101" s="2">
        <f>HYPERLINK("https://www.cadth.ca/lenvima-renal-cell-carcinoma-details", "Lenvima")</f>
        <v>0</v>
      </c>
      <c r="B101" t="inlineStr">
        <is>
          <t>Lenvatinib</t>
        </is>
      </c>
      <c r="C101" t="inlineStr">
        <is>
          <t>Genitourinary Renal Cell Carcinoma (RCC)</t>
        </is>
      </c>
      <c r="E101" t="inlineStr">
        <is>
          <t>Notification to Implement Issued</t>
        </is>
      </c>
      <c r="F101" s="3">
        <v>43259</v>
      </c>
      <c r="G101" s="3">
        <v>43469</v>
      </c>
      <c r="H101" t="inlineStr">
        <is>
          <t>pCODR 10140</t>
        </is>
      </c>
      <c r="I101" t="inlineStr">
        <is>
          <t>4mg and 10mg</t>
        </is>
      </c>
      <c r="J101" t="inlineStr">
        <is>
          <t>Genitourinary</t>
        </is>
      </c>
      <c r="K101" t="inlineStr">
        <is>
          <t>In combination with everolimus for the treatment of patients with advanced or metastatic, clear-cell RCC following one prior VEGF-targeted therapy.</t>
        </is>
      </c>
      <c r="L101" t="inlineStr">
        <is>
          <t>No</t>
        </is>
      </c>
      <c r="M101" s="3">
        <v>42991</v>
      </c>
      <c r="N101" t="inlineStr">
        <is>
          <t>Eisai Limited</t>
        </is>
      </c>
      <c r="O101" t="inlineStr">
        <is>
          <t>Eisai Limited</t>
        </is>
      </c>
      <c r="P101" s="3">
        <v>43266</v>
      </c>
      <c r="Q101" t="inlineStr">
        <is>
          <t>New Indication</t>
        </is>
      </c>
      <c r="R101" t="inlineStr">
        <is>
          <t>Requested and Not Granted</t>
        </is>
      </c>
      <c r="T101" s="3">
        <v>43326</v>
      </c>
      <c r="U101" s="3">
        <v>43391</v>
      </c>
      <c r="X101" s="3">
        <v>43447</v>
      </c>
      <c r="Y101" s="3">
        <v>43486</v>
      </c>
    </row>
    <row r="102">
      <c r="A102" s="2">
        <f>HYPERLINK("https://www.cadth.ca/folotyn-peripheral-t-cell-lymphoma", "Folotyn")</f>
        <v>0</v>
      </c>
      <c r="B102" t="inlineStr">
        <is>
          <t>Pralatrexate</t>
        </is>
      </c>
      <c r="C102" t="inlineStr">
        <is>
          <t>Lymphoma Peripheral T-Cell Lymphoma (PTCL)</t>
        </is>
      </c>
      <c r="E102" t="inlineStr">
        <is>
          <t>Notification to Implement Issued</t>
        </is>
      </c>
      <c r="F102" s="3">
        <v>43252</v>
      </c>
      <c r="G102" s="3">
        <v>43559</v>
      </c>
      <c r="H102" t="inlineStr">
        <is>
          <t>pCODR 10138</t>
        </is>
      </c>
      <c r="I102" t="inlineStr">
        <is>
          <t>20 mg/1 mL &amp; 40 mg/2 mL</t>
        </is>
      </c>
      <c r="J102" t="inlineStr">
        <is>
          <t>Lymphoma</t>
        </is>
      </c>
      <c r="K102" t="inlineStr">
        <is>
          <t>for the treatment of patients with relapsed or refractory PTCL</t>
        </is>
      </c>
      <c r="L102" t="inlineStr">
        <is>
          <t>Yes</t>
        </is>
      </c>
      <c r="M102" s="3">
        <v>43399</v>
      </c>
      <c r="N102" t="inlineStr">
        <is>
          <t>Servier Canada Inc.</t>
        </is>
      </c>
      <c r="O102" t="inlineStr">
        <is>
          <t>Servier Canada Inc.</t>
        </is>
      </c>
      <c r="P102" s="3">
        <v>43259</v>
      </c>
      <c r="Q102" t="inlineStr">
        <is>
          <t>New Drug</t>
        </is>
      </c>
      <c r="R102" t="inlineStr">
        <is>
          <t>Requested and Not Granted</t>
        </is>
      </c>
      <c r="T102" s="3">
        <v>43319</v>
      </c>
      <c r="U102" s="3">
        <v>43482</v>
      </c>
      <c r="X102" s="3">
        <v>43545</v>
      </c>
      <c r="Y102" s="3">
        <v>43577</v>
      </c>
      <c r="Z102" t="inlineStr">
        <is>
          <t>The timeline of the review was temporarily stopped, pending receipt of the additional information. The timeline of the review has resumed as the additional information has now been provided.</t>
        </is>
      </c>
    </row>
    <row r="103">
      <c r="A103" s="2">
        <f>HYPERLINK("https://www.cadth.ca/gazyva-follicular-lymphoma-details", "Gazyva")</f>
        <v>0</v>
      </c>
      <c r="B103" t="inlineStr">
        <is>
          <t>Obinutuzumab</t>
        </is>
      </c>
      <c r="C103" t="inlineStr">
        <is>
          <t>Lymphoma Follicular Lymphoma</t>
        </is>
      </c>
      <c r="E103" t="inlineStr">
        <is>
          <t>Notification to Implement Issued</t>
        </is>
      </c>
      <c r="F103" s="3">
        <v>42678</v>
      </c>
      <c r="G103" s="3">
        <v>42888</v>
      </c>
      <c r="H103" t="inlineStr">
        <is>
          <t>pCODR 10091</t>
        </is>
      </c>
      <c r="I103" t="inlineStr">
        <is>
          <t>1000 mg vial</t>
        </is>
      </c>
      <c r="J103" t="inlineStr">
        <is>
          <t>Lymphoma</t>
        </is>
      </c>
      <c r="K103" t="inlineStr">
        <is>
          <t>In combination with chemotherapy followed by obinutuzumab monotherapy for the treatment of follicular lymphoma who have relapsed after or are refractory to a rituximab containing regimen</t>
        </is>
      </c>
      <c r="L103" t="inlineStr">
        <is>
          <t>Yes</t>
        </is>
      </c>
      <c r="M103" s="3">
        <v>42733</v>
      </c>
      <c r="N103" t="inlineStr">
        <is>
          <t>Hoffmann-La Roche Limited</t>
        </is>
      </c>
      <c r="O103" t="inlineStr">
        <is>
          <t>Hoffmann-La Roche Limited</t>
        </is>
      </c>
      <c r="Q103" t="inlineStr">
        <is>
          <t>New Indication</t>
        </is>
      </c>
      <c r="R103" t="inlineStr">
        <is>
          <t>Requested and Granted</t>
        </is>
      </c>
      <c r="T103" s="3">
        <v>42753</v>
      </c>
      <c r="U103" s="3">
        <v>42810</v>
      </c>
      <c r="X103" s="3">
        <v>42873</v>
      </c>
      <c r="Y103" s="3">
        <v>42905</v>
      </c>
    </row>
    <row r="104">
      <c r="A104" s="2">
        <f>HYPERLINK("https://www.cadth.ca/rfa-inlyta-metastatic-renal-cell-carcinoma", "Inlyta (RFA)")</f>
        <v>0</v>
      </c>
      <c r="B104" t="inlineStr">
        <is>
          <t>Axitinib</t>
        </is>
      </c>
      <c r="C104" t="inlineStr">
        <is>
          <t>Genitourinary Metastatic Renal Cell Carcinoma</t>
        </is>
      </c>
      <c r="E104" t="inlineStr">
        <is>
          <t>Notification to Implement Issued</t>
        </is>
      </c>
      <c r="F104" s="3">
        <v>42843</v>
      </c>
      <c r="H104" t="inlineStr">
        <is>
          <t>pCODR RFA 0001</t>
        </is>
      </c>
      <c r="J104" t="inlineStr">
        <is>
          <t>Genitourinary</t>
        </is>
      </c>
      <c r="N104" t="inlineStr">
        <is>
          <t>Pfizer Canada Inc.</t>
        </is>
      </c>
      <c r="O104" t="inlineStr">
        <is>
          <t>pCODR Provincial Advisory Group</t>
        </is>
      </c>
      <c r="Q104" t="inlineStr">
        <is>
          <t>Request for Advice</t>
        </is>
      </c>
      <c r="U104" s="3">
        <v>42902</v>
      </c>
      <c r="Y104" s="3">
        <v>42916</v>
      </c>
    </row>
    <row r="105">
      <c r="A105" s="2">
        <f>HYPERLINK("https://www.cadth.ca/opdivo-combo-yervoy-metastatic-melanoma-details", "Opdivo &amp; Yervoy in combo")</f>
        <v>0</v>
      </c>
      <c r="B105" t="inlineStr">
        <is>
          <t>Nivolumab &amp; Ipilimumab in combo</t>
        </is>
      </c>
      <c r="C105" t="inlineStr">
        <is>
          <t>Skin and Melanoma Metastatic Melanoma</t>
        </is>
      </c>
      <c r="E105" t="inlineStr">
        <is>
          <t>Notification to Implement Issued</t>
        </is>
      </c>
      <c r="F105" s="3">
        <v>42704</v>
      </c>
      <c r="G105" s="3">
        <v>43069</v>
      </c>
      <c r="H105" t="inlineStr">
        <is>
          <t>pCODR 10098</t>
        </is>
      </c>
      <c r="I105" t="inlineStr">
        <is>
          <t>40 mg &amp; 100 mg single-use vials</t>
        </is>
      </c>
      <c r="J105" t="inlineStr">
        <is>
          <t>Skin and Melanoma</t>
        </is>
      </c>
      <c r="K105" t="inlineStr">
        <is>
          <t>In combination, for treatment-naïve adult patients with advanced (unresectable or metastatic) melanoma, regardless of BRAF status</t>
        </is>
      </c>
      <c r="L105" t="inlineStr">
        <is>
          <t>No</t>
        </is>
      </c>
      <c r="M105" s="3">
        <v>42669</v>
      </c>
      <c r="N105" t="inlineStr">
        <is>
          <t>Bristol-Myers Squibb Canada</t>
        </is>
      </c>
      <c r="O105" t="inlineStr">
        <is>
          <t>Bristol-Myers Squibb Canada</t>
        </is>
      </c>
      <c r="P105" s="3">
        <v>42718</v>
      </c>
      <c r="Q105" t="inlineStr">
        <is>
          <t>New Indication</t>
        </is>
      </c>
      <c r="R105" t="inlineStr">
        <is>
          <t>Requested and Not Granted</t>
        </is>
      </c>
      <c r="T105" s="3">
        <v>42767</v>
      </c>
      <c r="U105" s="3">
        <v>42999</v>
      </c>
      <c r="X105" s="3">
        <v>43055</v>
      </c>
      <c r="Y105" s="3">
        <v>43084</v>
      </c>
      <c r="Z105" t="inlineStr">
        <is>
          <t>The pCODR Expert Review Committee (pERC) Recommendation was deferred on April 20, 2017 pending additional information from the submitter. The timeline of the review has resumed as the additional information has now been provided and a new pERC date has been set by pCODR.</t>
        </is>
      </c>
    </row>
    <row r="106">
      <c r="A106" s="2">
        <f>HYPERLINK("https://www.cadth.ca/stivarga-unresectable-hepatocellular-carcinoma-hcc-details", "Stivarga")</f>
        <v>0</v>
      </c>
      <c r="B106" t="inlineStr">
        <is>
          <t>Regorafenib</t>
        </is>
      </c>
      <c r="C106" t="inlineStr">
        <is>
          <t>Gastrointestinal  Unresectable Hepatocellular Carcinoma (HCC)</t>
        </is>
      </c>
      <c r="E106" t="inlineStr">
        <is>
          <t>Notification to Implement Issued</t>
        </is>
      </c>
      <c r="F106" s="3">
        <v>43020</v>
      </c>
      <c r="G106" s="3">
        <v>43208</v>
      </c>
      <c r="H106" t="inlineStr">
        <is>
          <t>pCODR 10119</t>
        </is>
      </c>
      <c r="I106" t="inlineStr">
        <is>
          <t>40 mg</t>
        </is>
      </c>
      <c r="J106" t="inlineStr">
        <is>
          <t>Gastrointestinal</t>
        </is>
      </c>
      <c r="K106" t="inlineStr">
        <is>
          <t>For treatment of patients with unresectable hepatocellular carcinoma (HCC) who have been previously treated with sorafenib</t>
        </is>
      </c>
      <c r="L106" t="inlineStr">
        <is>
          <t>No</t>
        </is>
      </c>
      <c r="M106" s="3">
        <v>42996</v>
      </c>
      <c r="N106" t="inlineStr">
        <is>
          <t>Bayer Inc.</t>
        </is>
      </c>
      <c r="O106" t="inlineStr">
        <is>
          <t>Bayer Inc.</t>
        </is>
      </c>
      <c r="P106" s="3">
        <v>43027</v>
      </c>
      <c r="Q106" t="inlineStr">
        <is>
          <t>New Indication</t>
        </is>
      </c>
      <c r="R106" t="inlineStr">
        <is>
          <t>Requested and Granted</t>
        </is>
      </c>
      <c r="T106" s="3">
        <v>43074</v>
      </c>
      <c r="U106" s="3">
        <v>43174</v>
      </c>
      <c r="Y106" s="3">
        <v>43223</v>
      </c>
    </row>
    <row r="107">
      <c r="A107" s="2">
        <f>HYPERLINK("https://www.cadth.ca/kisqali-metastatic-breast-cancer-details", "Kisqali")</f>
        <v>0</v>
      </c>
      <c r="B107" t="inlineStr">
        <is>
          <t>Ribociclib</t>
        </is>
      </c>
      <c r="C107" t="inlineStr">
        <is>
          <t>Breast   Advanced or Metastatic Breast Cancer</t>
        </is>
      </c>
      <c r="E107" t="inlineStr">
        <is>
          <t>Notification to Implement Issued</t>
        </is>
      </c>
      <c r="F107" s="3">
        <v>43025</v>
      </c>
      <c r="G107" s="3">
        <v>43208</v>
      </c>
      <c r="H107" t="inlineStr">
        <is>
          <t>pCODR 10112</t>
        </is>
      </c>
      <c r="I107" t="inlineStr">
        <is>
          <t>200 mg</t>
        </is>
      </c>
      <c r="J107" t="inlineStr">
        <is>
          <t>Breast</t>
        </is>
      </c>
      <c r="K107" t="inlineStr">
        <is>
          <t>For the treatment of postmenopausal women with hormone receptor (HR)-positive, human epidermal growth factor receptor 2 (HER2)-negative advanced or metastatic breast cancer as an initial endocrine-based therapy</t>
        </is>
      </c>
      <c r="L107" t="inlineStr">
        <is>
          <t>Yes</t>
        </is>
      </c>
      <c r="M107" s="3">
        <v>43161</v>
      </c>
      <c r="N107" t="inlineStr">
        <is>
          <t>Novartis Pharmaceuticals Canada Inc.</t>
        </is>
      </c>
      <c r="O107" t="inlineStr">
        <is>
          <t>Novartis Pharmaceuticals Canada Inc.</t>
        </is>
      </c>
      <c r="P107" s="3">
        <v>43040</v>
      </c>
      <c r="Q107" t="inlineStr">
        <is>
          <t>New Drug</t>
        </is>
      </c>
      <c r="R107" t="inlineStr">
        <is>
          <t>Not Requested</t>
        </is>
      </c>
      <c r="T107" s="3">
        <v>43081</v>
      </c>
      <c r="U107" s="3">
        <v>43174</v>
      </c>
      <c r="Y107" s="3">
        <v>43223</v>
      </c>
    </row>
    <row r="108">
      <c r="A108" s="2">
        <f>HYPERLINK("https://www.cadth.ca/lonsurf-metastatic-colorectal-cancer-details", "Lonsurf")</f>
        <v>0</v>
      </c>
      <c r="B108" t="inlineStr">
        <is>
          <t>Trifluridine and Tipiracil</t>
        </is>
      </c>
      <c r="C108" t="inlineStr">
        <is>
          <t>Gastrointestinal Metastatic Colorectal Cancer</t>
        </is>
      </c>
      <c r="E108" t="inlineStr">
        <is>
          <t>Notification to Implement Issued</t>
        </is>
      </c>
      <c r="F108" s="3">
        <v>43045</v>
      </c>
      <c r="G108" s="3">
        <v>43287</v>
      </c>
      <c r="H108" t="inlineStr">
        <is>
          <t>pCODR 10122</t>
        </is>
      </c>
      <c r="I108" t="inlineStr">
        <is>
          <t>15 mg &amp; 20 mg</t>
        </is>
      </c>
      <c r="J108" t="inlineStr">
        <is>
          <t>Gastrointestinal</t>
        </is>
      </c>
      <c r="K108" t="inlineStr">
        <is>
          <t>For the treatment of adult patients with metastatic colorectal cancer who have been previously treated with, or are not considered candidates for, available therapies including fluoropyrimidine-, oxaliplatin- and irinotecan-based chemotherapies, anti-VEGF agents, and anti-EGFR agents</t>
        </is>
      </c>
      <c r="L108" t="inlineStr">
        <is>
          <t>Yes</t>
        </is>
      </c>
      <c r="M108" s="3">
        <v>43125</v>
      </c>
      <c r="N108" t="inlineStr">
        <is>
          <t>Taiho Pharma Canada, Inc.</t>
        </is>
      </c>
      <c r="O108" t="inlineStr">
        <is>
          <t>Taiho Pharma Canada, Inc.</t>
        </is>
      </c>
      <c r="P108" s="3">
        <v>43052</v>
      </c>
      <c r="Q108" t="inlineStr">
        <is>
          <t>New Drug</t>
        </is>
      </c>
      <c r="R108" t="inlineStr">
        <is>
          <t>Requested and Granted</t>
        </is>
      </c>
      <c r="T108" s="3">
        <v>43109</v>
      </c>
      <c r="U108" s="3">
        <v>43209</v>
      </c>
      <c r="X108" s="3">
        <v>43272</v>
      </c>
      <c r="Y108" s="3">
        <v>43304</v>
      </c>
    </row>
    <row r="109">
      <c r="A109" s="2">
        <f>HYPERLINK("https://www.cadth.ca/tecentriq-small-cell-lung-cancer-details", "Tecentriq")</f>
        <v>0</v>
      </c>
      <c r="B109" t="inlineStr">
        <is>
          <t>Atezolizumab</t>
        </is>
      </c>
      <c r="C109" t="inlineStr">
        <is>
          <t>Lung Small Cell Lung Cancer (SCLC)</t>
        </is>
      </c>
      <c r="E109" t="inlineStr">
        <is>
          <t>Notification to Implement Issued</t>
        </is>
      </c>
      <c r="F109" s="3">
        <v>43528</v>
      </c>
      <c r="G109" s="3">
        <v>43860</v>
      </c>
      <c r="H109" t="inlineStr">
        <is>
          <t>pCODR 10156</t>
        </is>
      </c>
      <c r="I109" t="inlineStr">
        <is>
          <t>60 mg/mL</t>
        </is>
      </c>
      <c r="J109" t="inlineStr">
        <is>
          <t>Lung</t>
        </is>
      </c>
      <c r="K109" t="inlineStr">
        <is>
          <t>For the first-line treatment of patients with extensive stage small cell lung cancer (ES-SCLC) in combination with a platinum-based chemotherapy and etoposide. Maintenance TECENTRIQ should be continued until loss of clinical benefit or unacceptable toxicity</t>
        </is>
      </c>
      <c r="L109" t="inlineStr">
        <is>
          <t>Yes</t>
        </is>
      </c>
      <c r="M109" s="3">
        <v>43685</v>
      </c>
      <c r="N109" t="inlineStr">
        <is>
          <t>Hoffmann-La Roche Limited</t>
        </is>
      </c>
      <c r="O109" t="inlineStr">
        <is>
          <t>Hoffmann-La Roche Limited</t>
        </is>
      </c>
      <c r="P109" s="3">
        <v>43542</v>
      </c>
      <c r="Q109" t="inlineStr">
        <is>
          <t>New Indication</t>
        </is>
      </c>
      <c r="T109" s="3">
        <v>43592</v>
      </c>
      <c r="U109" s="3">
        <v>43727</v>
      </c>
      <c r="X109" s="3">
        <v>43790</v>
      </c>
      <c r="Y109" s="3">
        <v>43875</v>
      </c>
      <c r="Z109" t="inlineStr">
        <is>
          <t>A procedural review request has been received and granted.</t>
        </is>
      </c>
    </row>
    <row r="110">
      <c r="A110" s="2">
        <f>HYPERLINK("https://www.cadth.ca/abemaciclib-advanced-or-metastatic-breast-cancer-details", "Verzenio")</f>
        <v>0</v>
      </c>
      <c r="B110" t="inlineStr">
        <is>
          <t>Abemaciclib</t>
        </is>
      </c>
      <c r="C110" t="inlineStr">
        <is>
          <t>Breast Advanced or metastatic breast cancer</t>
        </is>
      </c>
      <c r="E110" t="inlineStr">
        <is>
          <t>Notification to Implement Issued</t>
        </is>
      </c>
      <c r="F110" s="3">
        <v>43437</v>
      </c>
      <c r="G110" s="3">
        <v>43651</v>
      </c>
      <c r="H110" t="inlineStr">
        <is>
          <t>pCODR 10161</t>
        </is>
      </c>
      <c r="I110" t="inlineStr">
        <is>
          <t>50 mg, 100 mg, 150 mg and 200 mg</t>
        </is>
      </c>
      <c r="J110" t="inlineStr">
        <is>
          <t>Breast</t>
        </is>
      </c>
      <c r="K110" t="inlineStr">
        <is>
          <t>For the treatment of hormone receptor (HR)-positive, human epidermal growth factor receptor 2 (HER2)-negative advanced or metastatic breast cancer: • In combination with an aromatase inhibitor in postmenopausal women as initial endocrine based therapy. • In combination with fulvestrant in women with disease progression following endocrine therapy. Pre- or perimenopausal women must also be treated with a gonadotropin-releasing hormone agonist.</t>
        </is>
      </c>
      <c r="L110" t="inlineStr">
        <is>
          <t>Yes</t>
        </is>
      </c>
      <c r="M110" s="3">
        <v>43560</v>
      </c>
      <c r="N110" t="inlineStr">
        <is>
          <t>Eli Lilly Canada Inc.</t>
        </is>
      </c>
      <c r="O110" t="inlineStr">
        <is>
          <t>Eli Lilly Canada Inc.</t>
        </is>
      </c>
      <c r="P110" s="3">
        <v>43451</v>
      </c>
      <c r="Q110" t="inlineStr">
        <is>
          <t>New Drug</t>
        </is>
      </c>
      <c r="T110" s="3">
        <v>43515</v>
      </c>
      <c r="U110" s="3">
        <v>43573</v>
      </c>
      <c r="X110" s="3">
        <v>43636</v>
      </c>
      <c r="Y110" s="3">
        <v>43668</v>
      </c>
    </row>
    <row r="111">
      <c r="A111" s="2">
        <f>HYPERLINK("https://www.cadth.ca/tecentriq-avastin-non-squamous-non-small-cell-lung-cancer-details", "Tecentriq &amp; Avastin")</f>
        <v>0</v>
      </c>
      <c r="B111" t="inlineStr">
        <is>
          <t>Atezolizumab &amp; Bevacizumab</t>
        </is>
      </c>
      <c r="C111" t="inlineStr">
        <is>
          <t>Lung Non-Squamous Non-Small Cell Lung Cancer</t>
        </is>
      </c>
      <c r="E111" t="inlineStr">
        <is>
          <t>Notification to Implement Issued</t>
        </is>
      </c>
      <c r="F111" s="3">
        <v>43787</v>
      </c>
      <c r="G111" s="3">
        <v>44015</v>
      </c>
      <c r="H111" t="inlineStr">
        <is>
          <t>pCODR 10155</t>
        </is>
      </c>
      <c r="I111" t="inlineStr">
        <is>
          <t>1200 mg/20 mL (60 mg/mL) vial &amp; 100 mg/4 mL (25 mg/mL) and 400mg/16mL (25 mg/mL) vials</t>
        </is>
      </c>
      <c r="J111" t="inlineStr">
        <is>
          <t>Lung</t>
        </is>
      </c>
      <c r="K111" t="inlineStr">
        <is>
          <t>For the treatment of metastatic EGFR and/or ALK positive non-squamous non-small cell lung cancer in patients who have progressed on treatment with targeted therapies. Maintenance TECENTRIQ should be continued until loss of clinical benefit or unacceptable toxicity. Maintenance AVASTIN should be continued until disease progression or unacceptable toxicity.</t>
        </is>
      </c>
      <c r="L111" t="inlineStr">
        <is>
          <t>No</t>
        </is>
      </c>
      <c r="M111" s="3">
        <v>43609</v>
      </c>
      <c r="N111" t="inlineStr">
        <is>
          <t>Hoffmann-La Roche Limited</t>
        </is>
      </c>
      <c r="O111" t="inlineStr">
        <is>
          <t>Hoffmann-La Roche Limited</t>
        </is>
      </c>
      <c r="P111" s="3">
        <v>43801</v>
      </c>
      <c r="Q111" t="inlineStr">
        <is>
          <t>New Indication</t>
        </is>
      </c>
      <c r="T111" s="3">
        <v>43857</v>
      </c>
      <c r="U111" s="3">
        <v>43937</v>
      </c>
      <c r="X111" s="3">
        <v>44000</v>
      </c>
      <c r="Y111" s="3">
        <v>44032</v>
      </c>
    </row>
    <row r="112">
      <c r="A112" s="2">
        <f>HYPERLINK("https://www.cadth.ca/zytiga-prostate-cancer-details", "Zytiga")</f>
        <v>0</v>
      </c>
      <c r="B112" t="inlineStr">
        <is>
          <t>Abiraterone</t>
        </is>
      </c>
      <c r="C112" t="inlineStr">
        <is>
          <t>Genitourinary Prostate Cancer</t>
        </is>
      </c>
      <c r="E112" t="inlineStr">
        <is>
          <t>Withdrawn</t>
        </is>
      </c>
      <c r="F112" s="3">
        <v>43521</v>
      </c>
      <c r="H112" t="inlineStr">
        <is>
          <t>pCODR 10166</t>
        </is>
      </c>
      <c r="I112" t="inlineStr">
        <is>
          <t>250 mg &amp; 500 mg</t>
        </is>
      </c>
      <c r="J112" t="inlineStr">
        <is>
          <t>Genitourinary</t>
        </is>
      </c>
      <c r="K112" t="inlineStr">
        <is>
          <t>Newly diagnosed with metastatic prostate cancer without small-cell histologic features (may have received prior surgery or radiation therapy for local disease or palliative therapy); Less than 3 months of androgen deprivation therapy for metastatic disease (may have received prior adjuvant/neoadjuvant hormone therapy); Eligible for abiraterone therapy</t>
        </is>
      </c>
      <c r="L112" t="inlineStr">
        <is>
          <t>No</t>
        </is>
      </c>
      <c r="M112" s="3">
        <v>43146</v>
      </c>
      <c r="N112" t="inlineStr">
        <is>
          <t>Janssen Inc.</t>
        </is>
      </c>
      <c r="O112" t="inlineStr">
        <is>
          <t>BC Cancer Agency</t>
        </is>
      </c>
      <c r="P112" s="3">
        <v>43535</v>
      </c>
      <c r="Q112" t="inlineStr">
        <is>
          <t>New Indication</t>
        </is>
      </c>
      <c r="Z112" t="inlineStr">
        <is>
          <t>BC Cancer Agency has requested a voluntary withdrawal of the pCODR 10166 Abiraterone (Zytiga) for PC Submission. As per pCODR Procedures B3.1.6.2 b), the pCODR Provincial Advisory Group has agreed to the request to withdraw and decided to not continue the review as a PAG Submission.</t>
        </is>
      </c>
    </row>
    <row r="113">
      <c r="A113" s="2">
        <f>HYPERLINK("https://www.cadth.ca/darzalex-combo-bortezomib-melphalan-and-prednisone-multiple-myeloma-newly-diagnosed-details", "Darzalex")</f>
        <v>0</v>
      </c>
      <c r="B113" t="inlineStr">
        <is>
          <t>Daratumumab</t>
        </is>
      </c>
      <c r="C113" t="inlineStr">
        <is>
          <t>Myeloma Multiple Myeloma (newly diagnosed)</t>
        </is>
      </c>
      <c r="E113" t="inlineStr">
        <is>
          <t>Notification to Implement Issued</t>
        </is>
      </c>
      <c r="F113" s="3">
        <v>43469</v>
      </c>
      <c r="G113" s="3">
        <v>43706</v>
      </c>
      <c r="H113" t="inlineStr">
        <is>
          <t>pCODR 10148</t>
        </is>
      </c>
      <c r="I113" t="inlineStr">
        <is>
          <t>100 mg/5mL and 400 mg/20mL</t>
        </is>
      </c>
      <c r="J113" t="inlineStr">
        <is>
          <t>Myeloma</t>
        </is>
      </c>
      <c r="K113" t="inlineStr">
        <is>
          <t>In combination with bortezomib, melphalan and prednisone, for the treatment of patients with newly diagnosed multiple myeloma who are not suitable for autologous stem cell transplant</t>
        </is>
      </c>
      <c r="L113" t="inlineStr">
        <is>
          <t>No</t>
        </is>
      </c>
      <c r="M113" s="3">
        <v>43431</v>
      </c>
      <c r="N113" t="inlineStr">
        <is>
          <t>Janssen Inc.</t>
        </is>
      </c>
      <c r="O113" t="inlineStr">
        <is>
          <t>Janssen Inc.</t>
        </is>
      </c>
      <c r="P113" s="3">
        <v>43483</v>
      </c>
      <c r="Q113" t="inlineStr">
        <is>
          <t>New Indication</t>
        </is>
      </c>
      <c r="T113" s="3">
        <v>43549</v>
      </c>
      <c r="U113" s="3">
        <v>43636</v>
      </c>
      <c r="X113" s="3">
        <v>43692</v>
      </c>
      <c r="Y113" s="3">
        <v>43724</v>
      </c>
    </row>
    <row r="114">
      <c r="A114" s="2">
        <f>HYPERLINK("https://www.cadth.ca/demylocan-myelodysplastic-syndromes-details", "Demylocan")</f>
        <v>0</v>
      </c>
      <c r="B114" t="inlineStr">
        <is>
          <t>Decitabine</t>
        </is>
      </c>
      <c r="C114" t="inlineStr">
        <is>
          <t>Other Myelodysplastic Syndromes</t>
        </is>
      </c>
      <c r="E114" t="inlineStr">
        <is>
          <t>Not Filed</t>
        </is>
      </c>
      <c r="J114" t="inlineStr">
        <is>
          <t>Other</t>
        </is>
      </c>
      <c r="N114" t="inlineStr">
        <is>
          <t>Pharmascience Inc.</t>
        </is>
      </c>
      <c r="Q114" t="inlineStr">
        <is>
          <t>Non-Submission</t>
        </is>
      </c>
      <c r="Z114" t="inlineStr">
        <is>
          <t>CADTH is unable to recommend reimbursement of the relevant product because a submission to CADTH was not filed by the manufacturer.</t>
        </is>
      </c>
    </row>
    <row r="115">
      <c r="A115" s="2">
        <f>HYPERLINK("https://www.cadth.ca/trastuzumab-emtansine-kadcyla-early-breast-cancer-ebc-details", "Kadcyla")</f>
        <v>0</v>
      </c>
      <c r="B115" t="inlineStr">
        <is>
          <t>Trastuzumab Emtansine</t>
        </is>
      </c>
      <c r="C115" t="inlineStr">
        <is>
          <t>Breast Early Breast Cancer (EBC)</t>
        </is>
      </c>
      <c r="E115" t="inlineStr">
        <is>
          <t>Notification to Implement Issued</t>
        </is>
      </c>
      <c r="F115" s="3">
        <v>43648</v>
      </c>
      <c r="G115" s="3">
        <v>43852</v>
      </c>
      <c r="H115" t="inlineStr">
        <is>
          <t>pCODR 10182</t>
        </is>
      </c>
      <c r="I115" t="inlineStr">
        <is>
          <t>100 mg and 160 mg vial</t>
        </is>
      </c>
      <c r="J115" t="inlineStr">
        <is>
          <t>Breast</t>
        </is>
      </c>
      <c r="K115" t="inlineStr">
        <is>
          <t>For the adjuvant treatment of patients with HER2-positive early breast cancer, who have residual disease, after pre-operative systemic treatment. KADCYLA should be continued for 14 cycles or until disease progression or unacceptable toxicity. If KADCYLA is discontinued in the event of toxicity, treatment with trastuzumab may be continued to complete one year of HER2-directed therapy.</t>
        </is>
      </c>
      <c r="L115" t="inlineStr">
        <is>
          <t>Yes</t>
        </is>
      </c>
      <c r="M115" s="3">
        <v>43794</v>
      </c>
      <c r="N115" t="inlineStr">
        <is>
          <t>Hoffmann-La Roche Limited</t>
        </is>
      </c>
      <c r="O115" t="inlineStr">
        <is>
          <t>Hoffmann-La Roche Limited</t>
        </is>
      </c>
      <c r="P115" s="3">
        <v>43662</v>
      </c>
      <c r="Q115" t="inlineStr">
        <is>
          <t>New Indication</t>
        </is>
      </c>
      <c r="T115" s="3">
        <v>43705</v>
      </c>
      <c r="U115" s="3">
        <v>43811</v>
      </c>
      <c r="Y115" s="3">
        <v>43867</v>
      </c>
    </row>
    <row r="116">
      <c r="A116" s="2">
        <f>HYPERLINK("https://www.cadth.ca/daratumumab-darzalex-multiple-myeloma", "Darzalex")</f>
        <v>0</v>
      </c>
      <c r="B116" t="inlineStr">
        <is>
          <t>Daratumumab</t>
        </is>
      </c>
      <c r="C116" t="inlineStr">
        <is>
          <t>Multiple Myeloma  Myeloma</t>
        </is>
      </c>
      <c r="E116" t="inlineStr">
        <is>
          <t>Notification to Implement Issued</t>
        </is>
      </c>
      <c r="F116" s="3">
        <v>43663</v>
      </c>
      <c r="G116" s="3">
        <v>43895</v>
      </c>
      <c r="H116" t="inlineStr">
        <is>
          <t>pCODR 10189</t>
        </is>
      </c>
      <c r="I116" t="inlineStr">
        <is>
          <t>100 mg/5 mL &amp; 400 mg/20 mL</t>
        </is>
      </c>
      <c r="J116" t="inlineStr">
        <is>
          <t>Multiple Myeloma</t>
        </is>
      </c>
      <c r="K116" t="inlineStr">
        <is>
          <t>In combination with lenalidomide and dexamethasone for the treatment of patients with newly diagnosed multiple myeloma who are ineligible for autologous stem cell transplant.</t>
        </is>
      </c>
      <c r="L116" t="inlineStr">
        <is>
          <t>Yes</t>
        </is>
      </c>
      <c r="M116" s="3">
        <v>43763</v>
      </c>
      <c r="N116" t="inlineStr">
        <is>
          <t>Janssen Inc.</t>
        </is>
      </c>
      <c r="O116" t="inlineStr">
        <is>
          <t>Janssen Inc.</t>
        </is>
      </c>
      <c r="P116" s="3">
        <v>43677</v>
      </c>
      <c r="Q116" t="inlineStr">
        <is>
          <t>New Indication</t>
        </is>
      </c>
      <c r="T116" s="3">
        <v>43738</v>
      </c>
      <c r="U116" s="3">
        <v>43811</v>
      </c>
      <c r="X116" s="3">
        <v>43881</v>
      </c>
      <c r="Y116" s="3">
        <v>43910</v>
      </c>
    </row>
    <row r="117">
      <c r="A117" s="2">
        <f>HYPERLINK("https://www.cadth.ca/midostaurin-rydapt-systemic-mastocytosis", "Rydapt")</f>
        <v>0</v>
      </c>
      <c r="B117" t="inlineStr">
        <is>
          <t>Midostaurin</t>
        </is>
      </c>
      <c r="C117" t="inlineStr">
        <is>
          <t>Other Systemic Mastocytosis</t>
        </is>
      </c>
      <c r="E117" t="inlineStr">
        <is>
          <t>Notification to Implement Issued</t>
        </is>
      </c>
      <c r="F117" s="3">
        <v>43690</v>
      </c>
      <c r="G117" s="3">
        <v>43923</v>
      </c>
      <c r="H117" t="inlineStr">
        <is>
          <t>pCODR 10193</t>
        </is>
      </c>
      <c r="I117" t="inlineStr">
        <is>
          <t>25 mg</t>
        </is>
      </c>
      <c r="J117" t="inlineStr">
        <is>
          <t>Other</t>
        </is>
      </c>
      <c r="K117" t="inlineStr">
        <is>
          <t>For the treatment of adult patients with aggressive systemic mastocytosis (ASM), systemic mastocytosis with associated hematological neoplasm (SM-AHN), or mast cell leukemia (MCL).</t>
        </is>
      </c>
      <c r="L117" t="inlineStr">
        <is>
          <t>No</t>
        </is>
      </c>
      <c r="M117" s="3">
        <v>43376</v>
      </c>
      <c r="N117" t="inlineStr">
        <is>
          <t>Novartis Pharmaceuticals Canada Inc.</t>
        </is>
      </c>
      <c r="O117" t="inlineStr">
        <is>
          <t>Novartis Pharmaceuticals Canada Inc.</t>
        </is>
      </c>
      <c r="P117" s="3">
        <v>43704</v>
      </c>
      <c r="Q117" t="inlineStr">
        <is>
          <t>New Indication</t>
        </is>
      </c>
      <c r="T117" s="3">
        <v>43754</v>
      </c>
      <c r="U117" s="3">
        <v>43846</v>
      </c>
      <c r="X117" s="3">
        <v>43909</v>
      </c>
      <c r="Y117" s="3">
        <v>43941</v>
      </c>
    </row>
    <row r="118">
      <c r="A118" s="2">
        <f>HYPERLINK("https://www.cadth.ca/ibrutinib-imbruvica-lymphoma", "Imbruvica")</f>
        <v>0</v>
      </c>
      <c r="B118" t="inlineStr">
        <is>
          <t>Ibrutinib</t>
        </is>
      </c>
      <c r="C118" t="inlineStr">
        <is>
          <t>Lymphoma In combination with rituximab for Waldenstrom's Macroglobulinemia</t>
        </is>
      </c>
      <c r="E118" t="inlineStr">
        <is>
          <t>Not Filed</t>
        </is>
      </c>
      <c r="J118" t="inlineStr">
        <is>
          <t>Lymphoma</t>
        </is>
      </c>
      <c r="N118" t="inlineStr">
        <is>
          <t>Janssen Canada Inc.</t>
        </is>
      </c>
      <c r="Q118" t="inlineStr">
        <is>
          <t>Non-Submission</t>
        </is>
      </c>
      <c r="Z118" t="inlineStr">
        <is>
          <t>CADTH is unable to recommend reimbursement of the relevant product because a submission to CADTH was not filed by the manufacturer.</t>
        </is>
      </c>
    </row>
    <row r="119">
      <c r="A119" s="2">
        <f>HYPERLINK("https://www.cadth.ca/pembrolizumab-keytruda-mismatch-repair-deficient-endometrial-cancer-details", "Keytruda")</f>
        <v>0</v>
      </c>
      <c r="B119" t="inlineStr">
        <is>
          <t>Pembrolizumab</t>
        </is>
      </c>
      <c r="C119" t="inlineStr">
        <is>
          <t>Gynecology Adult patients with unresectable or metastatic microsatellite instability high (MSI-H) or mismatch repair deficient (dMMR) endometrial cancer whose tumours have progressed following prior therapy and who have no satisfactory alternative treatment options, as monotherapy.</t>
        </is>
      </c>
      <c r="E119" t="inlineStr">
        <is>
          <t>Not Filed</t>
        </is>
      </c>
      <c r="J119" t="inlineStr">
        <is>
          <t>Gynecology</t>
        </is>
      </c>
      <c r="N119" t="inlineStr">
        <is>
          <t>Merck Canada Inc.</t>
        </is>
      </c>
      <c r="Q119" t="inlineStr">
        <is>
          <t>Non-Submission</t>
        </is>
      </c>
      <c r="Z119" t="inlineStr">
        <is>
          <t>CADTH is unable to recommend reimbursement because a submission was not filed by the manufacturer.</t>
        </is>
      </c>
    </row>
    <row r="120">
      <c r="A120" s="2">
        <f>HYPERLINK("https://www.cadth.ca/trastuzumab-breast-and-gastric-cancer-biosimilar-details", "TBD")</f>
        <v>0</v>
      </c>
      <c r="B120" t="inlineStr">
        <is>
          <t>Trastuzumab</t>
        </is>
      </c>
      <c r="C120" t="inlineStr">
        <is>
          <t>Breast &amp; Gastrointestinal Breast and Gastric Cancer Biosimilar</t>
        </is>
      </c>
      <c r="E120" t="inlineStr">
        <is>
          <t>File-Closed Not Submitted</t>
        </is>
      </c>
      <c r="H120" t="inlineStr">
        <is>
          <t>pCODR 10160</t>
        </is>
      </c>
      <c r="J120" t="inlineStr">
        <is>
          <t>Breast &amp; Gastrointestinal</t>
        </is>
      </c>
      <c r="K120" t="inlineStr">
        <is>
          <t>Breast and Gastric Cancer Biosimilar</t>
        </is>
      </c>
      <c r="L120" t="inlineStr">
        <is>
          <t>Yes</t>
        </is>
      </c>
      <c r="N120" t="inlineStr">
        <is>
          <t>Pfizer Canada Inc.</t>
        </is>
      </c>
      <c r="O120" t="inlineStr">
        <is>
          <t>Pfizer Canada Inc.</t>
        </is>
      </c>
      <c r="Q120" t="inlineStr">
        <is>
          <t>Biosimilar – New Drug</t>
        </is>
      </c>
    </row>
    <row r="121">
      <c r="A121" s="2">
        <f>HYPERLINK("https://www.cadth.ca/rituximab-truxima-non-hodgkins-lymphoma-and-chronic-lymphocytic-leukemia-biosimilar-details", "Truxima")</f>
        <v>0</v>
      </c>
      <c r="B121" t="inlineStr">
        <is>
          <t>Rituximab</t>
        </is>
      </c>
      <c r="C121" t="inlineStr">
        <is>
          <t>Lymphoma &amp; Leukemia Non-Hodgkin’s Lymphoma and Chronic Lymphocytic Leukemia Biosimilar</t>
        </is>
      </c>
      <c r="E121" t="inlineStr">
        <is>
          <t>File-Closed Not Submitted</t>
        </is>
      </c>
      <c r="H121" t="inlineStr">
        <is>
          <t>pCODR 10184</t>
        </is>
      </c>
      <c r="I121" t="inlineStr">
        <is>
          <t>10 mg/mL</t>
        </is>
      </c>
      <c r="J121" t="inlineStr">
        <is>
          <t>Lymphoma &amp; Leukemia</t>
        </is>
      </c>
      <c r="K121" t="inlineStr">
        <is>
          <t>Non-Hodgkin’s Lymphoma and Chronic Lymphocytic Leukemia</t>
        </is>
      </c>
      <c r="L121" t="inlineStr">
        <is>
          <t>No</t>
        </is>
      </c>
      <c r="M121" s="3">
        <v>43559</v>
      </c>
      <c r="N121" t="inlineStr">
        <is>
          <t>Teva Canada Innovation</t>
        </is>
      </c>
      <c r="O121" t="inlineStr">
        <is>
          <t>Teva Canada Innovation</t>
        </is>
      </c>
      <c r="Q121" t="inlineStr">
        <is>
          <t>Biosimilar – New Drug</t>
        </is>
      </c>
    </row>
    <row r="122">
      <c r="A122" s="2">
        <f>HYPERLINK("https://www.cadth.ca/venetoclax-venclexta-combo-obinutuzumab-cll-details", "Venclexta")</f>
        <v>0</v>
      </c>
      <c r="B122" t="inlineStr">
        <is>
          <t>Venetoclax Obinutuzumab</t>
        </is>
      </c>
      <c r="C122" t="inlineStr">
        <is>
          <t>Leukemia Chronic Lymphocytic Leukemia (CLL)</t>
        </is>
      </c>
      <c r="E122" t="inlineStr">
        <is>
          <t>Open for Feedback on Recommendation</t>
        </is>
      </c>
      <c r="F122" s="3">
        <v>43938</v>
      </c>
      <c r="H122" t="inlineStr">
        <is>
          <t>pCODR 10212</t>
        </is>
      </c>
      <c r="I122" t="inlineStr">
        <is>
          <t>10 mg, 50 mg and 100 mg</t>
        </is>
      </c>
      <c r="J122" t="inlineStr">
        <is>
          <t>Leukemia</t>
        </is>
      </c>
      <c r="K122" t="inlineStr">
        <is>
          <t>Venetoclax (VENCLEXTA) in combination with obinutuzumab for the treatment of adult patients with previously untreated chronic lymphocytic leukemia (CLL) who are fludarabine ineligible.</t>
        </is>
      </c>
      <c r="L122" t="inlineStr">
        <is>
          <t>Yes</t>
        </is>
      </c>
      <c r="M122" s="3">
        <v>43949</v>
      </c>
      <c r="N122" t="inlineStr">
        <is>
          <t>AbbVie Corporation</t>
        </is>
      </c>
      <c r="O122" t="inlineStr">
        <is>
          <t>AbbVie Corporation</t>
        </is>
      </c>
      <c r="P122" s="3">
        <v>43958</v>
      </c>
      <c r="Q122" t="inlineStr">
        <is>
          <t>New Indication</t>
        </is>
      </c>
      <c r="T122" s="3">
        <v>44007</v>
      </c>
      <c r="U122" s="3">
        <v>44119</v>
      </c>
    </row>
    <row r="123">
      <c r="A123" s="2">
        <f>HYPERLINK("https://www.cadth.ca/polatuzumab-vedotin-polivy-dlbcl-details", "Polivy")</f>
        <v>0</v>
      </c>
      <c r="B123" t="inlineStr">
        <is>
          <t>Polatuzumab Vedotin</t>
        </is>
      </c>
      <c r="C123" t="inlineStr">
        <is>
          <t>Lymphoma Diffuse Large B-Cell Lymphoma (DLBCL)</t>
        </is>
      </c>
      <c r="E123" t="inlineStr">
        <is>
          <t>Under Review</t>
        </is>
      </c>
      <c r="F123" s="3">
        <v>44103</v>
      </c>
      <c r="H123" t="inlineStr">
        <is>
          <t>pCODR 10227</t>
        </is>
      </c>
      <c r="J123" t="inlineStr">
        <is>
          <t>Lymphoma</t>
        </is>
      </c>
      <c r="K123" t="inlineStr">
        <is>
          <t>Polatuzumab vedotin, in combination with bendamustine and rituximab is indicated for the treatment of adult patients with relapsed or refractory diffuse large B-cell lymphoma, not otherwise specified, who are not eligible for autologous stem cell transplant and have received at least one prior therapy.</t>
        </is>
      </c>
      <c r="L123" t="inlineStr">
        <is>
          <t>No</t>
        </is>
      </c>
      <c r="N123" t="inlineStr">
        <is>
          <t>Hoffmann-La Roche Limited</t>
        </is>
      </c>
      <c r="O123" t="inlineStr">
        <is>
          <t>Hoffmann-La Roche Limited</t>
        </is>
      </c>
      <c r="P123" s="3">
        <v>44120</v>
      </c>
      <c r="Q123" t="inlineStr">
        <is>
          <t>New Drug</t>
        </is>
      </c>
    </row>
    <row r="124">
      <c r="A124" s="2">
        <f>HYPERLINK("https://www.cadth.ca/brigatinib-alunbrig-anaplastic-lymphoma-kinase-positive-non-small-cell-lung-cancer-details", "Alunbrig")</f>
        <v>0</v>
      </c>
      <c r="B124" t="inlineStr">
        <is>
          <t>Brigatinib</t>
        </is>
      </c>
      <c r="C124" t="inlineStr">
        <is>
          <t>Lung Anaplastic Lymphoma Kinase Positive Non-Small Cell Lung Cancer</t>
        </is>
      </c>
      <c r="E124" t="inlineStr">
        <is>
          <t>Under Review</t>
        </is>
      </c>
      <c r="F124" s="3">
        <v>44104</v>
      </c>
      <c r="H124" t="inlineStr">
        <is>
          <t>pCODR 10230</t>
        </is>
      </c>
      <c r="J124" t="inlineStr">
        <is>
          <t>Lung</t>
        </is>
      </c>
      <c r="K124" t="inlineStr">
        <is>
          <t>For the treatment of adult patients with anaplastic lymphoma kinase (ALK)-positive locally advanced (not amenable to curative therapy) or metastatic non-small cell lung cancer (NSCLC) previously untreated with an ALK inhibitor.</t>
        </is>
      </c>
      <c r="L124" t="inlineStr">
        <is>
          <t>Yes</t>
        </is>
      </c>
      <c r="N124" t="inlineStr">
        <is>
          <t>Takeda Canada Inc.</t>
        </is>
      </c>
      <c r="O124" t="inlineStr">
        <is>
          <t>Takeda Canada Inc.</t>
        </is>
      </c>
      <c r="P124" s="3">
        <v>44119</v>
      </c>
      <c r="Q124" t="inlineStr">
        <is>
          <t>New Indication</t>
        </is>
      </c>
    </row>
    <row r="125">
      <c r="A125" s="2">
        <f>HYPERLINK("https://www.cadth.ca/afinitor-advanced-breast-details", "Afinitor")</f>
        <v>0</v>
      </c>
      <c r="B125" t="inlineStr">
        <is>
          <t>Everolimus</t>
        </is>
      </c>
      <c r="C125" t="inlineStr">
        <is>
          <t>Breast Advanced Breast Cancer</t>
        </is>
      </c>
      <c r="E125" t="inlineStr">
        <is>
          <t>Notification to Implement Issued</t>
        </is>
      </c>
      <c r="F125" s="3">
        <v>41157</v>
      </c>
      <c r="G125" s="3">
        <v>41358</v>
      </c>
      <c r="H125" t="inlineStr">
        <is>
          <t>pCODR 10014</t>
        </is>
      </c>
      <c r="I125" t="inlineStr">
        <is>
          <t>2.5 mg, 5mg and 10 mg</t>
        </is>
      </c>
      <c r="J125" t="inlineStr">
        <is>
          <t>Breast</t>
        </is>
      </c>
      <c r="K125" t="inlineStr">
        <is>
          <t>For treatment of post menopausal women with hormone receptor-positive advanced breast cancer in combination with exemestane, after progression or recurrence (failure) on NSAI therapy.</t>
        </is>
      </c>
      <c r="L125" t="inlineStr">
        <is>
          <t>Yes</t>
        </is>
      </c>
      <c r="M125" s="3">
        <v>41284</v>
      </c>
      <c r="N125" t="inlineStr">
        <is>
          <t>Novartis Pharmaceuticals Canada Inc.</t>
        </is>
      </c>
      <c r="O125" t="inlineStr">
        <is>
          <t>Novartis Pharmaceuticals Canada Inc.</t>
        </is>
      </c>
      <c r="P125" s="3">
        <v>41164</v>
      </c>
      <c r="Q125" t="inlineStr">
        <is>
          <t>New Indication</t>
        </is>
      </c>
      <c r="R125" t="inlineStr">
        <is>
          <t>Not Requested</t>
        </is>
      </c>
      <c r="T125" s="3">
        <v>41213</v>
      </c>
      <c r="U125" s="3">
        <v>41326</v>
      </c>
      <c r="Y125" s="3">
        <v>41375</v>
      </c>
    </row>
    <row r="126">
      <c r="A126" s="2">
        <f>HYPERLINK("https://www.cadth.ca/vismodegib-erivedge-advanced-bcc-details", "Erivedge")</f>
        <v>0</v>
      </c>
      <c r="B126" t="inlineStr">
        <is>
          <t>Vismodegib</t>
        </is>
      </c>
      <c r="C126" t="inlineStr">
        <is>
          <t>Skin and Melanoma Advanced Basal Cell Carcinoma</t>
        </is>
      </c>
      <c r="E126" t="inlineStr">
        <is>
          <t>Notification to Implement Issued</t>
        </is>
      </c>
      <c r="F126" s="3">
        <v>41439</v>
      </c>
      <c r="G126" s="3">
        <v>41649</v>
      </c>
      <c r="H126" t="inlineStr">
        <is>
          <t>pCODR 10015</t>
        </is>
      </c>
      <c r="I126" t="inlineStr">
        <is>
          <t>150 mg capsule</t>
        </is>
      </c>
      <c r="J126" t="inlineStr">
        <is>
          <t>Skin and Melanoma</t>
        </is>
      </c>
      <c r="K126" t="inlineStr">
        <is>
          <t>For the treatment of adult patients with histologically confirmed metastatic basal cell carcinoma or with locally advanced basal cell carcinoma inappropriate for surgery or radiotherapy</t>
        </is>
      </c>
      <c r="L126" t="inlineStr">
        <is>
          <t>Yes</t>
        </is>
      </c>
      <c r="M126" s="3">
        <v>41467</v>
      </c>
      <c r="N126" t="inlineStr">
        <is>
          <t>Hoffmann-La Roche Limited</t>
        </is>
      </c>
      <c r="O126" t="inlineStr">
        <is>
          <t>Hoffmann-La Roche Limited</t>
        </is>
      </c>
      <c r="P126" s="3">
        <v>41446</v>
      </c>
      <c r="Q126" t="inlineStr">
        <is>
          <t>New Drug</t>
        </is>
      </c>
      <c r="R126" t="inlineStr">
        <is>
          <t>Requested and Granted</t>
        </is>
      </c>
      <c r="T126" s="3">
        <v>41514</v>
      </c>
      <c r="U126" s="3">
        <v>41564</v>
      </c>
      <c r="X126" s="3">
        <v>41627</v>
      </c>
      <c r="Y126" s="3">
        <v>41666</v>
      </c>
    </row>
    <row r="127">
      <c r="A127" s="2">
        <f>HYPERLINK("https://www.cadth.ca/istodax-peripheral-t-cell-lymphoma-details", "Istodax")</f>
        <v>0</v>
      </c>
      <c r="B127" t="inlineStr">
        <is>
          <t>Romidepsin</t>
        </is>
      </c>
      <c r="C127" t="inlineStr">
        <is>
          <t>Lymphoma Peripheral T-Cell Lymphoma</t>
        </is>
      </c>
      <c r="E127" t="inlineStr">
        <is>
          <t>Notification to Implement Issued</t>
        </is>
      </c>
      <c r="F127" s="3">
        <v>41974</v>
      </c>
      <c r="G127" s="3">
        <v>42143</v>
      </c>
      <c r="H127" t="inlineStr">
        <is>
          <t>pCODR 10048</t>
        </is>
      </c>
      <c r="I127" t="inlineStr">
        <is>
          <t>10 mg per vial</t>
        </is>
      </c>
      <c r="J127" t="inlineStr">
        <is>
          <t>Lymphoma</t>
        </is>
      </c>
      <c r="K127" t="inlineStr">
        <is>
          <t>For patients with relapsed/refractory peripheral T-cell lymphoma (PTCL) who are not eligible for transplant and have received at least one prior systemic therapy</t>
        </is>
      </c>
      <c r="L127" t="inlineStr">
        <is>
          <t>No</t>
        </is>
      </c>
      <c r="M127" s="3">
        <v>41563</v>
      </c>
      <c r="N127" t="inlineStr">
        <is>
          <t>Celgene Inc.</t>
        </is>
      </c>
      <c r="O127" t="inlineStr">
        <is>
          <t>Celgene Inc.</t>
        </is>
      </c>
      <c r="P127" s="3">
        <v>41991</v>
      </c>
      <c r="Q127" t="inlineStr">
        <is>
          <t>New Drug</t>
        </is>
      </c>
      <c r="R127" t="inlineStr">
        <is>
          <t>Not Requested</t>
        </is>
      </c>
      <c r="T127" s="3">
        <v>42039</v>
      </c>
      <c r="U127" s="3">
        <v>42110</v>
      </c>
      <c r="Y127" s="3">
        <v>42158</v>
      </c>
    </row>
    <row r="128">
      <c r="A128" s="2">
        <f>HYPERLINK("https://www.cadth.ca/pomalyst-multiple-myeloma-details", "Pomalyst")</f>
        <v>0</v>
      </c>
      <c r="B128" t="inlineStr">
        <is>
          <t>Pomalidomide</t>
        </is>
      </c>
      <c r="C128" t="inlineStr">
        <is>
          <t>Myeloma Multiple Myeloma</t>
        </is>
      </c>
      <c r="E128" t="inlineStr">
        <is>
          <t>Notification to Implement Issued</t>
        </is>
      </c>
      <c r="F128" s="3">
        <v>41652</v>
      </c>
      <c r="G128" s="3">
        <v>41851</v>
      </c>
      <c r="H128" t="inlineStr">
        <is>
          <t>pCODR 10036</t>
        </is>
      </c>
      <c r="I128" t="inlineStr">
        <is>
          <t>1, 2, 3, 4 mg capsules</t>
        </is>
      </c>
      <c r="J128" t="inlineStr">
        <is>
          <t>Myeloma</t>
        </is>
      </c>
      <c r="K128" t="inlineStr">
        <is>
          <t>In combination with low-dose dexamethasone for patients with multiple myeloma for whom both bortezomib and lenalidomide have failed and who have received at least two prior treatment regimens and have demonstrated disease progression on the last regimen</t>
        </is>
      </c>
      <c r="L128" t="inlineStr">
        <is>
          <t>Yes</t>
        </is>
      </c>
      <c r="M128" s="3">
        <v>41659</v>
      </c>
      <c r="N128" t="inlineStr">
        <is>
          <t>Celgene Inc.</t>
        </is>
      </c>
      <c r="O128" t="inlineStr">
        <is>
          <t>Celgene Inc.</t>
        </is>
      </c>
      <c r="P128" s="3">
        <v>41659</v>
      </c>
      <c r="Q128" t="inlineStr">
        <is>
          <t>New Drug</t>
        </is>
      </c>
      <c r="R128" t="inlineStr">
        <is>
          <t>Not Requested</t>
        </is>
      </c>
      <c r="T128" s="3">
        <v>41716</v>
      </c>
      <c r="U128" s="3">
        <v>41774</v>
      </c>
      <c r="X128" s="3">
        <v>41837</v>
      </c>
      <c r="Y128" s="3">
        <v>41869</v>
      </c>
    </row>
    <row r="129">
      <c r="A129" s="2">
        <f>HYPERLINK("https://www.cadth.ca/stivarga-resubmission-mcrc-details", "Stivarga Resubmission (CRC)")</f>
        <v>0</v>
      </c>
      <c r="B129" t="inlineStr">
        <is>
          <t>Regorafenib</t>
        </is>
      </c>
      <c r="C129" t="inlineStr">
        <is>
          <t>Gastrointestinal Metastatic Colorectal Cancer</t>
        </is>
      </c>
      <c r="E129" t="inlineStr">
        <is>
          <t>Notification to Implement Issued</t>
        </is>
      </c>
      <c r="F129" s="3">
        <v>41992</v>
      </c>
      <c r="G129" s="3">
        <v>42201</v>
      </c>
      <c r="H129" t="inlineStr">
        <is>
          <t>pCODR 10046</t>
        </is>
      </c>
      <c r="I129" t="inlineStr">
        <is>
          <t>40mg tablet</t>
        </is>
      </c>
      <c r="J129" t="inlineStr">
        <is>
          <t>Gastrointestinal</t>
        </is>
      </c>
      <c r="K129" t="inlineStr">
        <is>
          <t>Treatment of patients with metastatic colorectal cancer (CRC), and an ECOG status of ≤1, who have been previously treated with fluoropyrimidine-based chemotherapy, oxaliplatin, irinotecan, an anti-VEGF therapy, and, if KRAS wild type, an anti-EGFR therapy</t>
        </is>
      </c>
      <c r="L129" t="inlineStr">
        <is>
          <t>No</t>
        </is>
      </c>
      <c r="M129" s="3">
        <v>41344</v>
      </c>
      <c r="N129" t="inlineStr">
        <is>
          <t>Bayer Inc.</t>
        </is>
      </c>
      <c r="O129" t="inlineStr">
        <is>
          <t>Bayer Inc.</t>
        </is>
      </c>
      <c r="P129" s="3">
        <v>42016</v>
      </c>
      <c r="Q129" t="inlineStr">
        <is>
          <t>Resubmission</t>
        </is>
      </c>
      <c r="R129" t="inlineStr">
        <is>
          <t>Not Requested</t>
        </is>
      </c>
      <c r="T129" s="3">
        <v>42065</v>
      </c>
      <c r="U129" s="3">
        <v>42111</v>
      </c>
      <c r="X129" s="3">
        <v>42187</v>
      </c>
      <c r="Y129" s="3">
        <v>42216</v>
      </c>
      <c r="Z129" t="inlineStr">
        <is>
          <t>Please note that the April pERC meeting was conducted over two days. The original date for the posting of pERC Initial Recommendation remained as April 30, 2015.</t>
        </is>
      </c>
    </row>
    <row r="130">
      <c r="A130" s="2">
        <f>HYPERLINK("https://www.cadth.ca/sylvant-multicentric-castlemans-disease-details", "Sylvant")</f>
        <v>0</v>
      </c>
      <c r="B130" t="inlineStr">
        <is>
          <t>Siltuximab</t>
        </is>
      </c>
      <c r="C130" t="inlineStr">
        <is>
          <t>Lymphoma Multicentric Castleman's Disease (MCD)</t>
        </is>
      </c>
      <c r="E130" t="inlineStr">
        <is>
          <t>Notification to Implement Issued</t>
        </is>
      </c>
      <c r="F130" s="3">
        <v>42034</v>
      </c>
      <c r="G130" s="3">
        <v>42177</v>
      </c>
      <c r="H130" t="inlineStr">
        <is>
          <t>pCODR 10052</t>
        </is>
      </c>
      <c r="I130" t="inlineStr">
        <is>
          <t>100mg/vial and 400mg/vial</t>
        </is>
      </c>
      <c r="J130" t="inlineStr">
        <is>
          <t>Lymphoma</t>
        </is>
      </c>
      <c r="K130" t="inlineStr">
        <is>
          <t>For the treatment of patients with multicentric Castleman's disease (MCD) who are human immunodeficiency virus (HIV)-negative and human herpes virus-8 (HHV-8)-negative</t>
        </is>
      </c>
      <c r="L130" t="inlineStr">
        <is>
          <t>No</t>
        </is>
      </c>
      <c r="M130" s="3">
        <v>41976</v>
      </c>
      <c r="N130" t="inlineStr">
        <is>
          <t>Janssen Inc.</t>
        </is>
      </c>
      <c r="O130" t="inlineStr">
        <is>
          <t>Janssen Inc.</t>
        </is>
      </c>
      <c r="P130" s="3">
        <v>42041</v>
      </c>
      <c r="Q130" t="inlineStr">
        <is>
          <t>New Drug</t>
        </is>
      </c>
      <c r="R130" t="inlineStr">
        <is>
          <t>Not Requested</t>
        </is>
      </c>
      <c r="T130" s="3">
        <v>42086</v>
      </c>
      <c r="U130" s="3">
        <v>42145</v>
      </c>
      <c r="Y130" s="3">
        <v>42193</v>
      </c>
    </row>
    <row r="131">
      <c r="A131" s="2">
        <f>HYPERLINK("https://www.cadth.ca/treanda-indolent-non-hodgkin-lymphoma", "Treanda")</f>
        <v>0</v>
      </c>
      <c r="B131" t="inlineStr">
        <is>
          <t>Bendamustine hydrochloride</t>
        </is>
      </c>
      <c r="C131" t="inlineStr">
        <is>
          <t>Lymphoma Non-Hodgkin lymphoma (NHL)</t>
        </is>
      </c>
      <c r="E131" t="inlineStr">
        <is>
          <t>Notification to Implement Issued</t>
        </is>
      </c>
      <c r="F131" s="3">
        <v>41023</v>
      </c>
      <c r="G131" s="3">
        <v>41242</v>
      </c>
      <c r="H131" t="inlineStr">
        <is>
          <t>pCODR 10010</t>
        </is>
      </c>
      <c r="I131" t="inlineStr">
        <is>
          <t>25 mg/vial and 100 mg/vial</t>
        </is>
      </c>
      <c r="J131" t="inlineStr">
        <is>
          <t>Lymphoma</t>
        </is>
      </c>
      <c r="K131" t="inlineStr">
        <is>
          <t>For patients with indolent Non-Hodgkin Lymphoma or Mantle Cell Lymphoma (first line and relapse/refractory)</t>
        </is>
      </c>
      <c r="L131" t="inlineStr">
        <is>
          <t>Yes</t>
        </is>
      </c>
      <c r="M131" s="3">
        <v>41145</v>
      </c>
      <c r="N131" t="inlineStr">
        <is>
          <t>Lundbeck Canada Inc.</t>
        </is>
      </c>
      <c r="O131" t="inlineStr">
        <is>
          <t>Lundbeck Canada Inc.</t>
        </is>
      </c>
      <c r="P131" s="3">
        <v>41030</v>
      </c>
      <c r="Q131" t="inlineStr">
        <is>
          <t>New Drug</t>
        </is>
      </c>
      <c r="R131" t="inlineStr">
        <is>
          <t>Not Requested</t>
        </is>
      </c>
      <c r="T131" s="3">
        <v>41087</v>
      </c>
      <c r="U131" s="3">
        <v>41172</v>
      </c>
      <c r="X131" s="3">
        <v>41228</v>
      </c>
      <c r="Y131" s="3">
        <v>41257</v>
      </c>
    </row>
    <row r="132">
      <c r="A132" s="2">
        <f>HYPERLINK("https://www.cadth.ca/xalkori-advanced-non-small-cell-lung-cancer", "Xalkori")</f>
        <v>0</v>
      </c>
      <c r="B132" t="inlineStr">
        <is>
          <t>Crizotinib</t>
        </is>
      </c>
      <c r="C132" t="inlineStr">
        <is>
          <t>Lung Advanced Non-Small Cell Lung Cancer</t>
        </is>
      </c>
      <c r="E132" t="inlineStr">
        <is>
          <t>Notification to Implement Issued Original Submission Complete</t>
        </is>
      </c>
      <c r="F132" s="3">
        <v>40994</v>
      </c>
      <c r="G132" s="3">
        <v>41186</v>
      </c>
      <c r="H132" t="inlineStr">
        <is>
          <t>pCODR 10008</t>
        </is>
      </c>
      <c r="I132" t="inlineStr">
        <is>
          <t>200mg and 250mg</t>
        </is>
      </c>
      <c r="J132" t="inlineStr">
        <is>
          <t>Lung</t>
        </is>
      </c>
      <c r="K132" t="inlineStr">
        <is>
          <t>Patients with anaplastic lymphoma kinase-(ALK) positive advanced non-small cell lung cancer (NSCLC).</t>
        </is>
      </c>
      <c r="L132" t="inlineStr">
        <is>
          <t>Yes</t>
        </is>
      </c>
      <c r="M132" s="3">
        <v>41024</v>
      </c>
      <c r="N132" t="inlineStr">
        <is>
          <t>Pfizer Canada Inc.</t>
        </is>
      </c>
      <c r="O132" t="inlineStr">
        <is>
          <t>Pfizer Canada Inc.</t>
        </is>
      </c>
      <c r="P132" s="3">
        <v>41010</v>
      </c>
      <c r="Q132" t="inlineStr">
        <is>
          <t>New Drug</t>
        </is>
      </c>
      <c r="R132" t="inlineStr">
        <is>
          <t>Not Requested</t>
        </is>
      </c>
      <c r="T132" s="3">
        <v>41052</v>
      </c>
      <c r="U132" s="3">
        <v>41109</v>
      </c>
      <c r="X132" s="3">
        <v>41172</v>
      </c>
      <c r="Y132" s="3">
        <v>41204</v>
      </c>
    </row>
    <row r="133">
      <c r="A133" s="2">
        <f>HYPERLINK("https://www.cadth.ca/yervoy-advanced-melanoma-details", "Yervoy")</f>
        <v>0</v>
      </c>
      <c r="B133" t="inlineStr">
        <is>
          <t>Ipilimumab</t>
        </is>
      </c>
      <c r="C133" t="inlineStr">
        <is>
          <t>Skin and Melanoma Advanced Melanoma</t>
        </is>
      </c>
      <c r="E133" t="inlineStr">
        <is>
          <t>Notification to Implement Issued</t>
        </is>
      </c>
      <c r="F133" s="3">
        <v>40878</v>
      </c>
      <c r="G133" s="3">
        <v>41017</v>
      </c>
      <c r="H133" t="inlineStr">
        <is>
          <t>pCODR 10003</t>
        </is>
      </c>
      <c r="I133" t="inlineStr">
        <is>
          <t>5 mg/mL</t>
        </is>
      </c>
      <c r="J133" t="inlineStr">
        <is>
          <t>Skin and Melanoma</t>
        </is>
      </c>
      <c r="K133" t="inlineStr">
        <is>
          <t>Treatment of advanced melanoma (unresectable Stage III and IV melanoma) in patients who have received prior systemic therapy</t>
        </is>
      </c>
      <c r="L133" t="inlineStr">
        <is>
          <t>Yes</t>
        </is>
      </c>
      <c r="M133" s="3">
        <v>40940</v>
      </c>
      <c r="N133" t="inlineStr">
        <is>
          <t>Bristol-Myers Squibb Canada</t>
        </is>
      </c>
      <c r="O133" t="inlineStr">
        <is>
          <t>Bristol-Myers Squibb Canada</t>
        </is>
      </c>
      <c r="P133" s="3">
        <v>40884</v>
      </c>
      <c r="Q133" t="inlineStr">
        <is>
          <t>New Drug</t>
        </is>
      </c>
      <c r="R133" t="inlineStr">
        <is>
          <t>Not Requested</t>
        </is>
      </c>
      <c r="T133" s="3">
        <v>40932</v>
      </c>
      <c r="U133" s="3">
        <v>40983</v>
      </c>
      <c r="Y133" s="3">
        <v>41031</v>
      </c>
    </row>
    <row r="134">
      <c r="A134" s="2">
        <f>HYPERLINK("https://www.cadth.ca/zaltrap-metastatic-colorectal-cancer-details", "Zaltrap")</f>
        <v>0</v>
      </c>
      <c r="B134" t="inlineStr">
        <is>
          <t>Aflibercept</t>
        </is>
      </c>
      <c r="C134" t="inlineStr">
        <is>
          <t>Gastrointestinal Metastatic Colorectal Cancer</t>
        </is>
      </c>
      <c r="E134" t="inlineStr">
        <is>
          <t>Notification to Implement Issued</t>
        </is>
      </c>
      <c r="F134" s="3">
        <v>41604</v>
      </c>
      <c r="G134" s="3">
        <v>41887</v>
      </c>
      <c r="H134" t="inlineStr">
        <is>
          <t>pCODR 10035</t>
        </is>
      </c>
      <c r="I134" t="inlineStr">
        <is>
          <t>25mg/mL</t>
        </is>
      </c>
      <c r="J134" t="inlineStr">
        <is>
          <t>Gastrointestinal</t>
        </is>
      </c>
      <c r="K134" t="inlineStr">
        <is>
          <t>In combination with irinotecan-fluoropyrimidine (FOLFIRI) based therapy for patients with metastatic colorectal cancer previously treated with an oxaliplatin-containing regimen</t>
        </is>
      </c>
      <c r="L134" t="inlineStr">
        <is>
          <t>Yes</t>
        </is>
      </c>
      <c r="M134" s="3">
        <v>41682</v>
      </c>
      <c r="N134" t="inlineStr">
        <is>
          <t>Sanofi-aventis Canada Inc.</t>
        </is>
      </c>
      <c r="O134" t="inlineStr">
        <is>
          <t>Sanofi-aventis Canada Inc.</t>
        </is>
      </c>
      <c r="P134" s="3">
        <v>41618</v>
      </c>
      <c r="Q134" t="inlineStr">
        <is>
          <t>New Drug</t>
        </is>
      </c>
      <c r="R134" t="inlineStr">
        <is>
          <t>Not Requested</t>
        </is>
      </c>
      <c r="T134" s="3">
        <v>41663</v>
      </c>
      <c r="U134" s="3">
        <v>41809</v>
      </c>
      <c r="X134" s="3">
        <v>41872</v>
      </c>
      <c r="Y134" s="3">
        <v>41904</v>
      </c>
      <c r="Z134" t="inlineStr">
        <is>
          <t>A delay in the receipt of Category 2 Part 2 requirements has impacted the review timeline.</t>
        </is>
      </c>
    </row>
    <row r="135">
      <c r="A135" s="2">
        <f>HYPERLINK("https://www.cadth.ca/tafinlar-mekinist-combo-metastatic-melanoma-details", "Tafinlar &amp; Mekinist in combo")</f>
        <v>0</v>
      </c>
      <c r="B135" t="inlineStr">
        <is>
          <t>Dabrafenib &amp; Trametinib in combo</t>
        </is>
      </c>
      <c r="C135" t="inlineStr">
        <is>
          <t>Skin and Melanoma Metastatic Melanoma</t>
        </is>
      </c>
      <c r="E135" t="inlineStr">
        <is>
          <t>Notification to Implement Issued</t>
        </is>
      </c>
      <c r="F135" s="3">
        <v>42048</v>
      </c>
      <c r="G135" s="3">
        <v>42206</v>
      </c>
      <c r="H135" t="inlineStr">
        <is>
          <t>pCODR 10053</t>
        </is>
      </c>
      <c r="I135" t="inlineStr">
        <is>
          <t>Dabrafenib: 50mg and 75mg capsules;Trametinib: 0.5mg and 2.0mg tablets</t>
        </is>
      </c>
      <c r="J135" t="inlineStr">
        <is>
          <t>Skin and Melanoma</t>
        </is>
      </c>
      <c r="K135" t="inlineStr">
        <is>
          <t>Dabrafenib and trametinib in combination for the treatment of patients with unresectable or metastatic melanoma with a BRAF 600 mutation.</t>
        </is>
      </c>
      <c r="L135" t="inlineStr">
        <is>
          <t>Yes</t>
        </is>
      </c>
      <c r="M135" s="3">
        <v>42069</v>
      </c>
      <c r="N135" t="inlineStr">
        <is>
          <t>GlaxoSmithKline Inc.</t>
        </is>
      </c>
      <c r="O135" t="inlineStr">
        <is>
          <t>GlaxoSmithKline Inc.</t>
        </is>
      </c>
      <c r="P135" s="3">
        <v>42058</v>
      </c>
      <c r="Q135" t="inlineStr">
        <is>
          <t>New Indication</t>
        </is>
      </c>
      <c r="R135" t="inlineStr">
        <is>
          <t>Not Requested</t>
        </is>
      </c>
      <c r="T135" s="3">
        <v>42102</v>
      </c>
      <c r="U135" s="3">
        <v>42173</v>
      </c>
      <c r="Y135" s="3">
        <v>42222</v>
      </c>
    </row>
    <row r="136">
      <c r="A136" s="2">
        <f>HYPERLINK("https://www.cadth.ca/keytruda-metastatic-melanoma-details", "Keytruda")</f>
        <v>0</v>
      </c>
      <c r="B136" t="inlineStr">
        <is>
          <t>Pembrolizumab</t>
        </is>
      </c>
      <c r="C136" t="inlineStr">
        <is>
          <t>Skin and Melanoma Metastatic Melanoma</t>
        </is>
      </c>
      <c r="E136" t="inlineStr">
        <is>
          <t>Notification to Implement Issued</t>
        </is>
      </c>
      <c r="F136" s="3">
        <v>42110</v>
      </c>
      <c r="G136" s="3">
        <v>42324</v>
      </c>
      <c r="H136" t="inlineStr">
        <is>
          <t>pCODR 10058</t>
        </is>
      </c>
      <c r="I136" t="inlineStr">
        <is>
          <t>50mg vial</t>
        </is>
      </c>
      <c r="J136" t="inlineStr">
        <is>
          <t>Skin and Melanoma</t>
        </is>
      </c>
      <c r="K136" t="inlineStr">
        <is>
          <t>For the treatment of patients with unresectable or metastatic melanoma</t>
        </is>
      </c>
      <c r="L136" t="inlineStr">
        <is>
          <t>Yes</t>
        </is>
      </c>
      <c r="M136" s="3">
        <v>42143</v>
      </c>
      <c r="N136" t="inlineStr">
        <is>
          <t>Merck Canada Inc.</t>
        </is>
      </c>
      <c r="O136" t="inlineStr">
        <is>
          <t>Merck Canada Inc.</t>
        </is>
      </c>
      <c r="P136" s="3">
        <v>42125</v>
      </c>
      <c r="Q136" t="inlineStr">
        <is>
          <t>New Drug</t>
        </is>
      </c>
      <c r="R136" t="inlineStr">
        <is>
          <t>Requested and Granted</t>
        </is>
      </c>
      <c r="T136" s="3">
        <v>42170</v>
      </c>
      <c r="U136" s="3">
        <v>42292</v>
      </c>
      <c r="Y136" s="3">
        <v>42339</v>
      </c>
      <c r="Z136" t="inlineStr">
        <is>
          <t>An expanded scope of review has been granted for pembrolizumab (Keytruda).  In accordance with the pCODR Procedures, the pCODR Provincial Advisory Group (PAG) requested additional information on pembrolizumab (Keytruda) which extend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is>
      </c>
    </row>
    <row r="137">
      <c r="A137" s="2">
        <f>HYPERLINK("https://www.cadth.ca/lenvima-differentiated-thyroid-cancer-details", "Lenvima")</f>
        <v>0</v>
      </c>
      <c r="B137" t="inlineStr">
        <is>
          <t>Lenvatinib</t>
        </is>
      </c>
      <c r="C137" t="inlineStr">
        <is>
          <t>Endocrine Differentiated Thyroid Cancer</t>
        </is>
      </c>
      <c r="E137" t="inlineStr">
        <is>
          <t>Notification to Implement Issued</t>
        </is>
      </c>
      <c r="F137" s="3">
        <v>42478</v>
      </c>
      <c r="G137" s="3">
        <v>42633</v>
      </c>
      <c r="H137" t="inlineStr">
        <is>
          <t>pCODR 10080</t>
        </is>
      </c>
      <c r="I137" t="inlineStr">
        <is>
          <t>4mg and 10mg Capsules</t>
        </is>
      </c>
      <c r="J137" t="inlineStr">
        <is>
          <t>Endocrine</t>
        </is>
      </c>
      <c r="K137" t="inlineStr">
        <is>
          <t>For the treatment of patients with locally recurrent or metastatic, progressive, radioactive iodine-refractory DTC</t>
        </is>
      </c>
      <c r="L137" t="inlineStr">
        <is>
          <t>No</t>
        </is>
      </c>
      <c r="M137" s="3">
        <v>42360</v>
      </c>
      <c r="N137" t="inlineStr">
        <is>
          <t>Eisai Limited</t>
        </is>
      </c>
      <c r="O137" t="inlineStr">
        <is>
          <t>Eisai Limited</t>
        </is>
      </c>
      <c r="P137" s="3">
        <v>42485</v>
      </c>
      <c r="Q137" t="inlineStr">
        <is>
          <t>New Drug</t>
        </is>
      </c>
      <c r="R137" t="inlineStr">
        <is>
          <t>Requested and Granted</t>
        </is>
      </c>
      <c r="T137" s="3">
        <v>42536</v>
      </c>
      <c r="U137" s="3">
        <v>42600</v>
      </c>
      <c r="Y137" s="3">
        <v>42648</v>
      </c>
    </row>
    <row r="138">
      <c r="A138" s="2">
        <f>HYPERLINK("https://www.cadth.ca/imbruvica-chronic-lymphocytic-leukemia-previously-untreated-details", "Imbruvica")</f>
        <v>0</v>
      </c>
      <c r="B138" t="inlineStr">
        <is>
          <t>Ibrutinib</t>
        </is>
      </c>
      <c r="C138" t="inlineStr">
        <is>
          <t>Leukemia Chronic Lymphocytic Leukemia/Small Lymphocytic Lymphoma (previously untreated)</t>
        </is>
      </c>
      <c r="E138" t="inlineStr">
        <is>
          <t>Notification to Implement Issued</t>
        </is>
      </c>
      <c r="F138" s="3">
        <v>42480</v>
      </c>
      <c r="G138" s="3">
        <v>42677</v>
      </c>
      <c r="H138" t="inlineStr">
        <is>
          <t>pCODR 10085</t>
        </is>
      </c>
      <c r="I138" t="inlineStr">
        <is>
          <t>140 mg Capsule</t>
        </is>
      </c>
      <c r="J138" t="inlineStr">
        <is>
          <t>Leukemia</t>
        </is>
      </c>
      <c r="K138" t="inlineStr">
        <is>
          <t>For patients with previously untreated CLL/SLL for whom fludarabine-based treatment is considered inappropriate</t>
        </is>
      </c>
      <c r="L138" t="inlineStr">
        <is>
          <t>Yes</t>
        </is>
      </c>
      <c r="M138" s="3">
        <v>42570</v>
      </c>
      <c r="N138" t="inlineStr">
        <is>
          <t>Janssen Canada Inc.</t>
        </is>
      </c>
      <c r="O138" t="inlineStr">
        <is>
          <t>Janssen Canada Inc.</t>
        </is>
      </c>
      <c r="P138" s="3">
        <v>42487</v>
      </c>
      <c r="Q138" t="inlineStr">
        <is>
          <t>New Indication</t>
        </is>
      </c>
      <c r="R138" t="inlineStr">
        <is>
          <t>Requested and Granted</t>
        </is>
      </c>
      <c r="T138" s="3">
        <v>42535</v>
      </c>
      <c r="U138" s="3">
        <v>42600</v>
      </c>
      <c r="X138" s="3">
        <v>42663</v>
      </c>
      <c r="Y138" s="3">
        <v>42692</v>
      </c>
    </row>
    <row r="139">
      <c r="A139" s="2">
        <f>HYPERLINK("https://www.cadth.ca/cotellic-metastatic-melanoma-details", "Cotellic")</f>
        <v>0</v>
      </c>
      <c r="B139" t="inlineStr">
        <is>
          <t>Cobimetinib</t>
        </is>
      </c>
      <c r="C139" t="inlineStr">
        <is>
          <t>Skin and Melanoma Metastatic Melanoma</t>
        </is>
      </c>
      <c r="E139" t="inlineStr">
        <is>
          <t>Notification to Implement Issued</t>
        </is>
      </c>
      <c r="F139" s="3">
        <v>42349</v>
      </c>
      <c r="G139" s="3">
        <v>42551</v>
      </c>
      <c r="H139" t="inlineStr">
        <is>
          <t>pCODR 10070</t>
        </is>
      </c>
      <c r="I139" t="inlineStr">
        <is>
          <t>20 mg tablet</t>
        </is>
      </c>
      <c r="J139" t="inlineStr">
        <is>
          <t>Skin and Melanoma</t>
        </is>
      </c>
      <c r="K139" t="inlineStr">
        <is>
          <t>In combination vermurafenib, for the treatment of patients with unresectable or metastatic melanoma with BRAF V600 mutation</t>
        </is>
      </c>
      <c r="L139" t="inlineStr">
        <is>
          <t>Yes</t>
        </is>
      </c>
      <c r="M139" s="3">
        <v>42422</v>
      </c>
      <c r="N139" t="inlineStr">
        <is>
          <t>Hoffmann-la Roche Ltd.</t>
        </is>
      </c>
      <c r="O139" t="inlineStr">
        <is>
          <t>Hoffmann-la Roche Ltd.</t>
        </is>
      </c>
      <c r="P139" s="3">
        <v>42356</v>
      </c>
      <c r="Q139" t="inlineStr">
        <is>
          <t>New Drug</t>
        </is>
      </c>
      <c r="R139" t="inlineStr">
        <is>
          <t>Not Requested</t>
        </is>
      </c>
      <c r="T139" s="3">
        <v>42409</v>
      </c>
      <c r="U139" s="3">
        <v>42482</v>
      </c>
      <c r="X139" s="3">
        <v>42537</v>
      </c>
      <c r="Y139" s="3">
        <v>42569</v>
      </c>
    </row>
    <row r="140">
      <c r="A140" s="2">
        <f>HYPERLINK("https://www.cadth.ca/kyprolis-lenalidomide-multiple-myeloma-details", "Kyprolis (with lenalidomide)")</f>
        <v>0</v>
      </c>
      <c r="B140" t="inlineStr">
        <is>
          <t>Carfilzomib (with lenalidomide)</t>
        </is>
      </c>
      <c r="C140" t="inlineStr">
        <is>
          <t>Myeloma Multiple Myeloma</t>
        </is>
      </c>
      <c r="E140" t="inlineStr">
        <is>
          <t>Notification to Implement Issued</t>
        </is>
      </c>
      <c r="F140" s="3">
        <v>42349</v>
      </c>
      <c r="G140" s="3">
        <v>42542</v>
      </c>
      <c r="H140" t="inlineStr">
        <is>
          <t>pCODR 10067</t>
        </is>
      </c>
      <c r="I140" t="inlineStr">
        <is>
          <t>60 mg vial</t>
        </is>
      </c>
      <c r="J140" t="inlineStr">
        <is>
          <t>Myeloma</t>
        </is>
      </c>
      <c r="K140" t="inlineStr">
        <is>
          <t>In combination with lenalidomide and dexamethasone for the treatment of patients with multiple myeloma following one prior treatment failure</t>
        </is>
      </c>
      <c r="L140" t="inlineStr">
        <is>
          <t>Yes</t>
        </is>
      </c>
      <c r="M140" s="3">
        <v>42384</v>
      </c>
      <c r="N140" t="inlineStr">
        <is>
          <t>Amgen Canada Inc.</t>
        </is>
      </c>
      <c r="O140" t="inlineStr">
        <is>
          <t>Amgen Canada Inc.</t>
        </is>
      </c>
      <c r="P140" s="3">
        <v>42382</v>
      </c>
      <c r="Q140" t="inlineStr">
        <is>
          <t>New Drug</t>
        </is>
      </c>
      <c r="R140" t="inlineStr">
        <is>
          <t>Not Requested</t>
        </is>
      </c>
      <c r="T140" s="3">
        <v>42430</v>
      </c>
      <c r="U140" s="3">
        <v>42509</v>
      </c>
      <c r="Y140" s="3">
        <v>42558</v>
      </c>
      <c r="Z140" t="inlineStr">
        <is>
          <t>The pERC Final Recommendation posted on June 21, 2016 was revised on November 11, 2016 in order to align the patient population in the pERC Recommendation with the pivotal trial (ASPIRE). The pCODR Provincial Advisory Group has been notified of this revision.</t>
        </is>
      </c>
    </row>
    <row r="141">
      <c r="A141" s="2">
        <f>HYPERLINK("https://www.cadth.ca/darzalex-multiple-myeloma-second-line-or-beyond-details", "Darzalex")</f>
        <v>0</v>
      </c>
      <c r="B141" t="inlineStr">
        <is>
          <t>Daratumumab</t>
        </is>
      </c>
      <c r="C141" t="inlineStr">
        <is>
          <t>Myeloma Multiple Myeloma (second-line or beyond)</t>
        </is>
      </c>
      <c r="E141" t="inlineStr">
        <is>
          <t>Notification to Implement Issued</t>
        </is>
      </c>
      <c r="F141" s="3">
        <v>42797</v>
      </c>
      <c r="G141" s="3">
        <v>43013</v>
      </c>
      <c r="H141" t="inlineStr">
        <is>
          <t>pCODR 10104</t>
        </is>
      </c>
      <c r="I141" t="inlineStr">
        <is>
          <t>20mg/mL</t>
        </is>
      </c>
      <c r="J141" t="inlineStr">
        <is>
          <t>Myeloma</t>
        </is>
      </c>
      <c r="K141" t="inlineStr">
        <is>
          <t>In combination with lenalidomide and dexamethasone, or bortezomib and dexamethasone, for the treatment of patients with multiple myeloma who have received at least one prior therapy</t>
        </is>
      </c>
      <c r="L141" t="inlineStr">
        <is>
          <t>Yes</t>
        </is>
      </c>
      <c r="M141" s="3">
        <v>42838</v>
      </c>
      <c r="N141" t="inlineStr">
        <is>
          <t>Janssen Inc.</t>
        </is>
      </c>
      <c r="O141" t="inlineStr">
        <is>
          <t>Janssen Inc.</t>
        </is>
      </c>
      <c r="P141" s="3">
        <v>42804</v>
      </c>
      <c r="Q141" t="inlineStr">
        <is>
          <t>New Indication</t>
        </is>
      </c>
      <c r="R141" t="inlineStr">
        <is>
          <t>Not Requested</t>
        </is>
      </c>
      <c r="T141" s="3">
        <v>42865</v>
      </c>
      <c r="U141" s="3">
        <v>42936</v>
      </c>
      <c r="X141" s="3">
        <v>42999</v>
      </c>
      <c r="Y141" s="3">
        <v>43031</v>
      </c>
    </row>
    <row r="142">
      <c r="A142" s="2">
        <f>HYPERLINK("https://www.cadth.ca/tecentriq-non-small-cell-lung-cancer-details", "Tecentriq")</f>
        <v>0</v>
      </c>
      <c r="B142" t="inlineStr">
        <is>
          <t>Atezolizumab</t>
        </is>
      </c>
      <c r="C142" t="inlineStr">
        <is>
          <t>Lung Non-Small Cell Lung Cancer</t>
        </is>
      </c>
      <c r="E142" t="inlineStr">
        <is>
          <t>Notification to Implement Issued</t>
        </is>
      </c>
      <c r="F142" s="3">
        <v>43084</v>
      </c>
      <c r="G142" s="3">
        <v>43271</v>
      </c>
      <c r="H142" t="inlineStr">
        <is>
          <t>pCODR 10115</t>
        </is>
      </c>
      <c r="I142" t="inlineStr">
        <is>
          <t>60 mg/mL</t>
        </is>
      </c>
      <c r="J142" t="inlineStr">
        <is>
          <t>Lung</t>
        </is>
      </c>
      <c r="K142" t="inlineStr">
        <is>
          <t>For the treatment of patients with locally advanced or metastatic non-small cell lung cancer who have progressed on or after systemic chemotherapy until loss of clinical benefit</t>
        </is>
      </c>
      <c r="L142" t="inlineStr">
        <is>
          <t>Yes</t>
        </is>
      </c>
      <c r="M142" s="3">
        <v>43196</v>
      </c>
      <c r="N142" t="inlineStr">
        <is>
          <t>Hoffmann-La Roche Limited</t>
        </is>
      </c>
      <c r="O142" t="inlineStr">
        <is>
          <t>Hoffmann-La Roche Limited</t>
        </is>
      </c>
      <c r="P142" s="3">
        <v>43091</v>
      </c>
      <c r="Q142" t="inlineStr">
        <is>
          <t>New Drug</t>
        </is>
      </c>
      <c r="R142" t="inlineStr">
        <is>
          <t>Not Requested</t>
        </is>
      </c>
      <c r="T142" s="3">
        <v>43144</v>
      </c>
      <c r="U142" s="3">
        <v>43237</v>
      </c>
      <c r="Y142" s="3">
        <v>43287</v>
      </c>
    </row>
    <row r="143">
      <c r="A143" s="2">
        <f>HYPERLINK("https://www.cadth.ca/opdivo-melanoma-adjuvant-therapy-details", "Opdivo")</f>
        <v>0</v>
      </c>
      <c r="B143" t="inlineStr">
        <is>
          <t>Nivolumab</t>
        </is>
      </c>
      <c r="C143" t="inlineStr">
        <is>
          <t>Skin &amp; Melanoma Melanoma Adjuvant Therapy</t>
        </is>
      </c>
      <c r="E143" t="inlineStr">
        <is>
          <t>Notification to Implement Issued</t>
        </is>
      </c>
      <c r="F143" s="3">
        <v>43339</v>
      </c>
      <c r="G143" s="3">
        <v>43531</v>
      </c>
      <c r="H143" t="inlineStr">
        <is>
          <t>pCODR 10147</t>
        </is>
      </c>
      <c r="I143" t="inlineStr">
        <is>
          <t>40 mg &amp; 100 mg</t>
        </is>
      </c>
      <c r="J143" t="inlineStr">
        <is>
          <t>Skin &amp; Melanoma</t>
        </is>
      </c>
      <c r="K143" t="inlineStr">
        <is>
          <t>For the adjuvant treatment of adult patients after complete resection of melanoma with regional lymph node involvement, in transit metastases/satellites without metastatic nodes, or distant metastases</t>
        </is>
      </c>
      <c r="L143" t="inlineStr">
        <is>
          <t>Yes</t>
        </is>
      </c>
      <c r="M143" s="3">
        <v>43419</v>
      </c>
      <c r="N143" t="inlineStr">
        <is>
          <t>Bristol-Myers Squibb Canada</t>
        </is>
      </c>
      <c r="O143" t="inlineStr">
        <is>
          <t>Bristol-Myers Squibb Canada</t>
        </is>
      </c>
      <c r="P143" s="3">
        <v>43354</v>
      </c>
      <c r="Q143" t="inlineStr">
        <is>
          <t>New Indication</t>
        </is>
      </c>
      <c r="R143" t="inlineStr">
        <is>
          <t>Requested and Granted</t>
        </is>
      </c>
      <c r="T143" s="3">
        <v>43390</v>
      </c>
      <c r="U143" s="3">
        <v>43447</v>
      </c>
      <c r="X143" s="3">
        <v>43517</v>
      </c>
      <c r="Y143" s="3">
        <v>43546</v>
      </c>
    </row>
    <row r="144">
      <c r="A144" s="2">
        <f>HYPERLINK("https://www.cadth.ca/venclexta-combo-rituximab-chronic-lymphocytic-leukemia-details", "Venclexta in combo Rituximab")</f>
        <v>0</v>
      </c>
      <c r="B144" t="inlineStr">
        <is>
          <t>Venetoclax</t>
        </is>
      </c>
      <c r="C144" t="inlineStr">
        <is>
          <t>Leukemia Chronic Lymphocytic Leukemia (CLL)</t>
        </is>
      </c>
      <c r="E144" t="inlineStr">
        <is>
          <t>Notification to Implement Issued</t>
        </is>
      </c>
      <c r="F144" s="3">
        <v>43397</v>
      </c>
      <c r="G144" s="3">
        <v>43616</v>
      </c>
      <c r="H144" t="inlineStr">
        <is>
          <t>pCODR 10162</t>
        </is>
      </c>
      <c r="J144" t="inlineStr">
        <is>
          <t>Leukemia</t>
        </is>
      </c>
      <c r="K144" t="inlineStr">
        <is>
          <t>In combination with rituximab (V+R) is indicated for the treatment of adult patients with chronic lymphocytic leukemia (CLL) who have received at least one prior therapy</t>
        </is>
      </c>
      <c r="L144" t="inlineStr">
        <is>
          <t>No</t>
        </is>
      </c>
      <c r="M144" s="3">
        <v>43364</v>
      </c>
      <c r="N144" t="inlineStr">
        <is>
          <t>AbbVie Corporation</t>
        </is>
      </c>
      <c r="O144" t="inlineStr">
        <is>
          <t>AbbVie Corporation</t>
        </is>
      </c>
      <c r="P144" s="3">
        <v>43411</v>
      </c>
      <c r="Q144" t="inlineStr">
        <is>
          <t>New Indication</t>
        </is>
      </c>
      <c r="T144" s="3">
        <v>43473</v>
      </c>
      <c r="U144" s="3">
        <v>43545</v>
      </c>
      <c r="X144" s="3">
        <v>43601</v>
      </c>
      <c r="Y144" s="3">
        <v>43633</v>
      </c>
    </row>
    <row r="145">
      <c r="A145" s="2">
        <f>HYPERLINK("https://www.cadth.ca/imfinzi-non-small-cell-lung-cancer-details", "Imfinzi")</f>
        <v>0</v>
      </c>
      <c r="B145" t="inlineStr">
        <is>
          <t>Durvalumab</t>
        </is>
      </c>
      <c r="C145" t="inlineStr">
        <is>
          <t>Lung Non-Small Cell Lung Cancer</t>
        </is>
      </c>
      <c r="E145" t="inlineStr">
        <is>
          <t>Notification to Implement Issued</t>
        </is>
      </c>
      <c r="F145" s="3">
        <v>43364</v>
      </c>
      <c r="G145" s="3">
        <v>43588</v>
      </c>
      <c r="H145" t="inlineStr">
        <is>
          <t>pCODR 10131</t>
        </is>
      </c>
      <c r="I145" t="inlineStr">
        <is>
          <t>50 mg</t>
        </is>
      </c>
      <c r="J145" t="inlineStr">
        <is>
          <t>Lung</t>
        </is>
      </c>
      <c r="K145" t="inlineStr">
        <is>
          <t>For the treatment of patients with locally advanced, unresectable non-small cell lung cancer (NSCLC) following curative intent platinum-based chemoradiation therapy, for up to a maximum of 12 months</t>
        </is>
      </c>
      <c r="L145" t="inlineStr">
        <is>
          <t>No</t>
        </is>
      </c>
      <c r="M145" s="3">
        <v>43224</v>
      </c>
      <c r="N145" t="inlineStr">
        <is>
          <t>AstraZeneca Canada</t>
        </is>
      </c>
      <c r="O145" t="inlineStr">
        <is>
          <t>AstraZeneca Canada</t>
        </is>
      </c>
      <c r="P145" s="3">
        <v>43378</v>
      </c>
      <c r="Q145" t="inlineStr">
        <is>
          <t>New Drug</t>
        </is>
      </c>
      <c r="T145" s="3">
        <v>43416</v>
      </c>
      <c r="U145" s="3">
        <v>43517</v>
      </c>
      <c r="X145" s="3">
        <v>43573</v>
      </c>
      <c r="Y145" s="3">
        <v>43606</v>
      </c>
    </row>
    <row r="146">
      <c r="A146" s="2">
        <f>HYPERLINK("https://www.cadth.ca/yondelis-liposarcoma-or-leiomyoscarcoma-details", "Yondelis")</f>
        <v>0</v>
      </c>
      <c r="B146" t="inlineStr">
        <is>
          <t>Trabectedin</t>
        </is>
      </c>
      <c r="C146" t="inlineStr">
        <is>
          <t>Sarcoma Metastatic Liposarcoma or Leiomyosarcoma</t>
        </is>
      </c>
      <c r="E146" t="inlineStr">
        <is>
          <t>Notification to Implement Issued</t>
        </is>
      </c>
      <c r="F146" s="3">
        <v>42360</v>
      </c>
      <c r="G146" s="3">
        <v>42587</v>
      </c>
      <c r="H146" t="inlineStr">
        <is>
          <t>pCODR 10071</t>
        </is>
      </c>
      <c r="I146" t="inlineStr">
        <is>
          <t>1mg/vial</t>
        </is>
      </c>
      <c r="J146" t="inlineStr">
        <is>
          <t>Sarcoma</t>
        </is>
      </c>
      <c r="K146" t="inlineStr">
        <is>
          <t>For the treatment of patients with metastatic liposarcoma or leiomyosarcoma after failure of prior anthracycline and ifosfamide chemotherapy</t>
        </is>
      </c>
      <c r="L146" t="inlineStr">
        <is>
          <t>No</t>
        </is>
      </c>
      <c r="M146" s="3">
        <v>40738</v>
      </c>
      <c r="N146" t="inlineStr">
        <is>
          <t>Janssen Inc.</t>
        </is>
      </c>
      <c r="O146" t="inlineStr">
        <is>
          <t>Janssen Inc.</t>
        </is>
      </c>
      <c r="P146" s="3">
        <v>42375</v>
      </c>
      <c r="Q146" t="inlineStr">
        <is>
          <t>New Indication</t>
        </is>
      </c>
      <c r="R146" t="inlineStr">
        <is>
          <t>Not Requested</t>
        </is>
      </c>
      <c r="T146" s="3">
        <v>42431</v>
      </c>
      <c r="U146" s="3">
        <v>42509</v>
      </c>
      <c r="X146" s="3">
        <v>42572</v>
      </c>
      <c r="Y146" s="3">
        <v>42604</v>
      </c>
    </row>
    <row r="147">
      <c r="A147" s="2">
        <f>HYPERLINK("https://www.cadth.ca/venclexta-chronic-lymphocytic-leukemia-17p-deletion-details", "Venclexta")</f>
        <v>0</v>
      </c>
      <c r="B147" t="inlineStr">
        <is>
          <t>Venetoclax</t>
        </is>
      </c>
      <c r="C147" t="inlineStr">
        <is>
          <t>Leukemia Chronic Lymphocytic Leukemia (with 17p deletion)</t>
        </is>
      </c>
      <c r="E147" t="inlineStr">
        <is>
          <t>Withdrawn</t>
        </is>
      </c>
      <c r="F147" s="3">
        <v>42559</v>
      </c>
      <c r="H147" t="inlineStr">
        <is>
          <t>pCODR 10087</t>
        </is>
      </c>
      <c r="I147" t="inlineStr">
        <is>
          <t>10 mg, 50 mg &amp; 100 mg tablets</t>
        </is>
      </c>
      <c r="J147" t="inlineStr">
        <is>
          <t>Leukemia</t>
        </is>
      </c>
      <c r="K147" t="inlineStr">
        <is>
          <t>For the treatment of patients with chronic lymphocytic leukemia (CLL) who have received at least one prior therapy and have a 17p deletion</t>
        </is>
      </c>
      <c r="L147" t="inlineStr">
        <is>
          <t>Yes</t>
        </is>
      </c>
      <c r="M147" s="3">
        <v>42643</v>
      </c>
      <c r="N147" t="inlineStr">
        <is>
          <t>AbbVie Corporation</t>
        </is>
      </c>
      <c r="O147" t="inlineStr">
        <is>
          <t>AbbVie Corporation</t>
        </is>
      </c>
      <c r="P147" s="3">
        <v>42577</v>
      </c>
      <c r="Q147" t="inlineStr">
        <is>
          <t>New Drug</t>
        </is>
      </c>
      <c r="R147" t="inlineStr">
        <is>
          <t>Requested and Not Granted</t>
        </is>
      </c>
      <c r="T147" s="3">
        <v>42627</v>
      </c>
      <c r="U147" s="3">
        <v>42691</v>
      </c>
      <c r="Z147" t="inlineStr">
        <is>
          <t>AbbVie Corporation requested a voluntary withdrawal of the pCODR 10087 Venetoclax (Venclexta) for CLL Submission.  As per pCODR Procedures B3.1.6.2 b), the pCODR Provincial Advisory Group has agreed to the request to withdraw and decided to not continue the review as a PAG Submission. Please note that as per pCODR Procedures, Section B.6.2, if a submission is withdrawn but a pERC Initial Recommendation has been made, the pCODR program will continue to publically post the pERC Initial Recommendation.</t>
        </is>
      </c>
    </row>
    <row r="148">
      <c r="A148" s="2">
        <f>HYPERLINK("https://www.cadth.ca/caprelsa-medullary-thyroid-cancer-details", "Caprelsa")</f>
        <v>0</v>
      </c>
      <c r="B148" t="inlineStr">
        <is>
          <t>Vandetanib</t>
        </is>
      </c>
      <c r="C148" t="inlineStr">
        <is>
          <t>Endocrine Medullary Thyroid Cancer</t>
        </is>
      </c>
      <c r="E148" t="inlineStr">
        <is>
          <t>Notification to Implement Issued</t>
        </is>
      </c>
      <c r="F148" s="3">
        <v>42597</v>
      </c>
      <c r="G148" s="3">
        <v>42824</v>
      </c>
      <c r="H148" t="inlineStr">
        <is>
          <t>pCODR 10090</t>
        </is>
      </c>
      <c r="I148" t="inlineStr">
        <is>
          <t>100 mg and 300 mg tablets</t>
        </is>
      </c>
      <c r="J148" t="inlineStr">
        <is>
          <t>Endocrine</t>
        </is>
      </c>
      <c r="K148" t="inlineStr">
        <is>
          <t>For the treatment of symptomatic and/or progressive medullary thyroid cancer in adult patients with unresectable locally advanced or metastatic disease</t>
        </is>
      </c>
      <c r="L148" t="inlineStr">
        <is>
          <t>No</t>
        </is>
      </c>
      <c r="M148" s="3">
        <v>40920</v>
      </c>
      <c r="N148" t="inlineStr">
        <is>
          <t>Sanofi Genzyme</t>
        </is>
      </c>
      <c r="O148" t="inlineStr">
        <is>
          <t>Sanofi Genzyme</t>
        </is>
      </c>
      <c r="P148" s="3">
        <v>42604</v>
      </c>
      <c r="Q148" t="inlineStr">
        <is>
          <t>New Drug</t>
        </is>
      </c>
      <c r="R148" t="inlineStr">
        <is>
          <t>Requested and Granted</t>
        </is>
      </c>
      <c r="T148" s="3">
        <v>42660</v>
      </c>
      <c r="U148" s="3">
        <v>42754</v>
      </c>
      <c r="X148" s="3">
        <v>42810</v>
      </c>
      <c r="Y148" s="3">
        <v>42842</v>
      </c>
    </row>
    <row r="149">
      <c r="A149" s="2">
        <f>HYPERLINK("https://www.cadth.ca/imbruvica-waldenstroms-macroglobulinemia-details", "Imbruvica")</f>
        <v>0</v>
      </c>
      <c r="B149" t="inlineStr">
        <is>
          <t>Ibrutinib</t>
        </is>
      </c>
      <c r="C149" t="inlineStr">
        <is>
          <t>Lymphoma Waldenstrom's Macroglobulinemia</t>
        </is>
      </c>
      <c r="E149" t="inlineStr">
        <is>
          <t>Pending</t>
        </is>
      </c>
      <c r="F149" s="3">
        <v>42481</v>
      </c>
      <c r="G149" s="3">
        <v>42677</v>
      </c>
      <c r="H149" t="inlineStr">
        <is>
          <t>pCODR 10082</t>
        </is>
      </c>
      <c r="I149" t="inlineStr">
        <is>
          <t>140mg Capsules</t>
        </is>
      </c>
      <c r="J149" t="inlineStr">
        <is>
          <t>Lymphoma</t>
        </is>
      </c>
      <c r="K149" t="inlineStr">
        <is>
          <t>For the treatment of patients with Waldenström’s Macroglobulinemia who have received at least one prior therapy</t>
        </is>
      </c>
      <c r="L149" t="inlineStr">
        <is>
          <t>No</t>
        </is>
      </c>
      <c r="M149" s="3">
        <v>42460</v>
      </c>
      <c r="N149" t="inlineStr">
        <is>
          <t>Janssen Canada Inc.</t>
        </is>
      </c>
      <c r="O149" t="inlineStr">
        <is>
          <t>Janssen Canada Inc.</t>
        </is>
      </c>
      <c r="P149" s="3">
        <v>42488</v>
      </c>
      <c r="Q149" t="inlineStr">
        <is>
          <t>New Indication</t>
        </is>
      </c>
      <c r="R149" t="inlineStr">
        <is>
          <t>Not Requested</t>
        </is>
      </c>
      <c r="T149" s="3">
        <v>42544</v>
      </c>
      <c r="U149" s="3">
        <v>42601</v>
      </c>
      <c r="X149" s="3">
        <v>42663</v>
      </c>
      <c r="Y149" s="3">
        <v>42692</v>
      </c>
      <c r="Z149" t="inlineStr">
        <is>
          <t>Please note that the August pERC meeting was conducted over two days. The original target date for the posting of pERC Initial Recommendation remains as  September 1, 2016.</t>
        </is>
      </c>
    </row>
    <row r="150">
      <c r="A150" s="2">
        <f>HYPERLINK("https://www.cadth.ca/opdivo-classical-hodgkin-lymphoma-after-failure-asct-details", "Opdivo")</f>
        <v>0</v>
      </c>
      <c r="B150" t="inlineStr">
        <is>
          <t>Nivolumab</t>
        </is>
      </c>
      <c r="C150" t="inlineStr">
        <is>
          <t>Lymphoma classical Hodgkin Lymphoma after failure of ASCT</t>
        </is>
      </c>
      <c r="E150" t="inlineStr">
        <is>
          <t>Notification to Implement Issued</t>
        </is>
      </c>
      <c r="F150" s="3">
        <v>43007</v>
      </c>
      <c r="G150" s="3">
        <v>43223</v>
      </c>
      <c r="H150" t="inlineStr">
        <is>
          <t>pCODR 10120</t>
        </is>
      </c>
      <c r="I150" t="inlineStr">
        <is>
          <t>10 mg/mL</t>
        </is>
      </c>
      <c r="J150" t="inlineStr">
        <is>
          <t>Lymphoma</t>
        </is>
      </c>
      <c r="K150" t="inlineStr">
        <is>
          <t>For the treatment of adult patients with classical Hodgkin Lymphoma (cHL) that has relapsed or progressed after autologous stem cell transplantation (ASCT) and brentuximab vedotin, or 3 or more lines of systemic therapy including ASCT</t>
        </is>
      </c>
      <c r="L150" t="inlineStr">
        <is>
          <t>Yes</t>
        </is>
      </c>
      <c r="M150" s="3">
        <v>43049</v>
      </c>
      <c r="N150" t="inlineStr">
        <is>
          <t>Bristol-Myers Squibb</t>
        </is>
      </c>
      <c r="O150" t="inlineStr">
        <is>
          <t>Bristol-Myers Squibb</t>
        </is>
      </c>
      <c r="P150" s="3">
        <v>43014</v>
      </c>
      <c r="Q150" t="inlineStr">
        <is>
          <t>New Indication</t>
        </is>
      </c>
      <c r="R150" t="inlineStr">
        <is>
          <t>Requested and Not Granted</t>
        </is>
      </c>
      <c r="T150" s="3">
        <v>43059</v>
      </c>
      <c r="U150" s="3">
        <v>43146</v>
      </c>
      <c r="X150" s="3">
        <v>43209</v>
      </c>
      <c r="Y150" s="3">
        <v>43238</v>
      </c>
    </row>
    <row r="151">
      <c r="A151" s="2">
        <f>HYPERLINK("https://www.cadth.ca/lartruvo-advanced-soft-tissue-sarcoma-details", "Lartruvo")</f>
        <v>0</v>
      </c>
      <c r="B151" t="inlineStr">
        <is>
          <t>Olaratumab</t>
        </is>
      </c>
      <c r="C151" t="inlineStr">
        <is>
          <t>Sarcoma Advanced Soft Tissue Sarcoma (STS)</t>
        </is>
      </c>
      <c r="E151" t="inlineStr">
        <is>
          <t>Notification to Implement Issued</t>
        </is>
      </c>
      <c r="F151" s="3">
        <v>43034</v>
      </c>
      <c r="G151" s="3">
        <v>43208</v>
      </c>
      <c r="H151" t="inlineStr">
        <is>
          <t>pCODR 10111</t>
        </is>
      </c>
      <c r="I151" t="inlineStr">
        <is>
          <t>10 mg/mL</t>
        </is>
      </c>
      <c r="J151" t="inlineStr">
        <is>
          <t>Sarcoma</t>
        </is>
      </c>
      <c r="K151" t="inlineStr">
        <is>
          <t>In combination with doxorubicin for the treatment of adult patients with advanced soft tissue sarcoma (STS) not amenable to curative treatment with radiotherapy or surgery and for whom treatment with an anthracycline-containing regimen is appropriate</t>
        </is>
      </c>
      <c r="L151" t="inlineStr">
        <is>
          <t>Yes</t>
        </is>
      </c>
      <c r="M151" s="3">
        <v>43062</v>
      </c>
      <c r="N151" t="inlineStr">
        <is>
          <t>Eli Lilly Canada Inc.</t>
        </is>
      </c>
      <c r="O151" t="inlineStr">
        <is>
          <t>Eli Lilly Canada Inc.</t>
        </is>
      </c>
      <c r="P151" s="3">
        <v>43041</v>
      </c>
      <c r="Q151" t="inlineStr">
        <is>
          <t>New Indication</t>
        </is>
      </c>
      <c r="R151" t="inlineStr">
        <is>
          <t>Requested and Granted</t>
        </is>
      </c>
      <c r="T151" s="3">
        <v>43082</v>
      </c>
      <c r="U151" s="3">
        <v>43174</v>
      </c>
      <c r="Y151" s="3">
        <v>43223</v>
      </c>
    </row>
    <row r="152">
      <c r="A152" s="2">
        <f>HYPERLINK("https://www.cadth.ca/zykadia-non-small-cell-lung-cancer-resubmission-details", "Zykadia (Resubmission)")</f>
        <v>0</v>
      </c>
      <c r="B152" t="inlineStr">
        <is>
          <t>Ceritinib</t>
        </is>
      </c>
      <c r="C152" t="inlineStr">
        <is>
          <t>Lung Non-Small Cell Lung Cancer</t>
        </is>
      </c>
      <c r="E152" t="inlineStr">
        <is>
          <t>Notification to Implement Issued</t>
        </is>
      </c>
      <c r="F152" s="3">
        <v>42662</v>
      </c>
      <c r="G152" s="3">
        <v>42815</v>
      </c>
      <c r="H152" t="inlineStr">
        <is>
          <t>pCODR 10094</t>
        </is>
      </c>
      <c r="J152" t="inlineStr">
        <is>
          <t>Lung</t>
        </is>
      </c>
      <c r="K152" t="inlineStr">
        <is>
          <t>For treatment as monotherapy in patients with anaplastic lymphoma kinase (ALK)-positive locally advanced (not amenable to curative therapy) or metastatic non-small cell lung cancer (NSCLC) who have progressed on or who were intolerant to crizotinib</t>
        </is>
      </c>
      <c r="L152" t="inlineStr">
        <is>
          <t>No</t>
        </is>
      </c>
      <c r="M152" s="3">
        <v>42090</v>
      </c>
      <c r="N152" t="inlineStr">
        <is>
          <t>Novartis Pharmaceuticals Canada Inc.</t>
        </is>
      </c>
      <c r="O152" t="inlineStr">
        <is>
          <t>Novartis Pharmaceuticals Canada Inc.</t>
        </is>
      </c>
      <c r="P152" s="3">
        <v>42676</v>
      </c>
      <c r="Q152" t="inlineStr">
        <is>
          <t>Resubmission</t>
        </is>
      </c>
      <c r="R152" t="inlineStr">
        <is>
          <t>Not Requested</t>
        </is>
      </c>
      <c r="T152" s="3">
        <v>42712</v>
      </c>
      <c r="U152" s="3">
        <v>42782</v>
      </c>
      <c r="Y152" s="3">
        <v>42830</v>
      </c>
    </row>
    <row r="153">
      <c r="A153" s="2">
        <f>HYPERLINK("https://www.cadth.ca/keytruda-metastatic-urothelial-carcinoma-details", "Keytruda")</f>
        <v>0</v>
      </c>
      <c r="B153" t="inlineStr">
        <is>
          <t>Pembrolizumab</t>
        </is>
      </c>
      <c r="C153" t="inlineStr">
        <is>
          <t>Genitourinary Metastatic Urothelial Carcinoma</t>
        </is>
      </c>
      <c r="E153" t="inlineStr">
        <is>
          <t>Notification to Implement Issued</t>
        </is>
      </c>
      <c r="F153" s="3">
        <v>42940</v>
      </c>
      <c r="G153" s="3">
        <v>43161</v>
      </c>
      <c r="H153" t="inlineStr">
        <is>
          <t>pCODR 10117</t>
        </is>
      </c>
      <c r="I153" t="inlineStr">
        <is>
          <t>50 mg/vial</t>
        </is>
      </c>
      <c r="J153" t="inlineStr">
        <is>
          <t>Genitourinary</t>
        </is>
      </c>
      <c r="K153" t="inlineStr">
        <is>
          <t>For the treatment of patients with locally advanced or metastatic urothelial carcinoma who have disease progression during or following platinum-containing chemotherapy or within 12 months of completing neoadjuvant or adjuvant platinum-containing chemotherapy</t>
        </is>
      </c>
      <c r="L153" t="inlineStr">
        <is>
          <t>Yes</t>
        </is>
      </c>
      <c r="M153" s="3">
        <v>42998</v>
      </c>
      <c r="N153" t="inlineStr">
        <is>
          <t>Merck Canada Inc.</t>
        </is>
      </c>
      <c r="O153" t="inlineStr">
        <is>
          <t>Merck Canada Inc.</t>
        </is>
      </c>
      <c r="P153" s="3">
        <v>42947</v>
      </c>
      <c r="Q153" t="inlineStr">
        <is>
          <t>New Indication</t>
        </is>
      </c>
      <c r="R153" t="inlineStr">
        <is>
          <t>Requested and Granted</t>
        </is>
      </c>
      <c r="T153" s="3">
        <v>42997</v>
      </c>
      <c r="U153" s="3">
        <v>43083</v>
      </c>
      <c r="X153" s="3">
        <v>43146</v>
      </c>
      <c r="Y153" s="3">
        <v>43178</v>
      </c>
    </row>
    <row r="154">
      <c r="A154" s="2">
        <f>HYPERLINK("https://www.cadth.ca/erleada-castrate-resistant-prostate-cancer-details", "Erleada")</f>
        <v>0</v>
      </c>
      <c r="B154" t="inlineStr">
        <is>
          <t>Apalutamide</t>
        </is>
      </c>
      <c r="C154" t="inlineStr">
        <is>
          <t>Genitourinary Castrate Resistant Prostate Cancer</t>
        </is>
      </c>
      <c r="E154" t="inlineStr">
        <is>
          <t>Notification to Implement Issued</t>
        </is>
      </c>
      <c r="F154" s="3">
        <v>43206</v>
      </c>
      <c r="G154" s="3">
        <v>43405</v>
      </c>
      <c r="H154" t="inlineStr">
        <is>
          <t>pCODR 10133</t>
        </is>
      </c>
      <c r="I154" t="inlineStr">
        <is>
          <t>60 mg</t>
        </is>
      </c>
      <c r="J154" t="inlineStr">
        <is>
          <t>Genitourinary</t>
        </is>
      </c>
      <c r="K154" t="inlineStr">
        <is>
          <t>non-metastatic castrate resistant prostate cancer (nm-CRPC)</t>
        </is>
      </c>
      <c r="L154" t="inlineStr">
        <is>
          <t>Yes</t>
        </is>
      </c>
      <c r="M154" s="3">
        <v>43284</v>
      </c>
      <c r="N154" t="inlineStr">
        <is>
          <t>Janssen Inc.</t>
        </is>
      </c>
      <c r="O154" t="inlineStr">
        <is>
          <t>Janssen Inc.</t>
        </is>
      </c>
      <c r="P154" s="3">
        <v>43221</v>
      </c>
      <c r="Q154" t="inlineStr">
        <is>
          <t>New Drug</t>
        </is>
      </c>
      <c r="R154" t="inlineStr">
        <is>
          <t>Requested and Granted</t>
        </is>
      </c>
      <c r="T154" s="3">
        <v>43263</v>
      </c>
      <c r="U154" s="3">
        <v>43328</v>
      </c>
      <c r="X154" s="3">
        <v>43391</v>
      </c>
      <c r="Y154" s="3">
        <v>43420</v>
      </c>
    </row>
    <row r="155">
      <c r="A155" s="2">
        <f>HYPERLINK("https://www.cadth.ca/opdivo-combo-yervoy-renal-cell-carcinoma-details", "Opdivo in combination with Yervoy")</f>
        <v>0</v>
      </c>
      <c r="B155" t="inlineStr">
        <is>
          <t>Nivolumab in combination with Ipilimumab</t>
        </is>
      </c>
      <c r="C155" t="inlineStr">
        <is>
          <t>Genitourinary Renal Cell Carcinoma</t>
        </is>
      </c>
      <c r="E155" t="inlineStr">
        <is>
          <t>Notification to Implement Issued</t>
        </is>
      </c>
      <c r="F155" s="3">
        <v>43216</v>
      </c>
      <c r="G155" s="3">
        <v>43405</v>
      </c>
      <c r="H155" t="inlineStr">
        <is>
          <t>pCODR 10132</t>
        </is>
      </c>
      <c r="I155" t="inlineStr">
        <is>
          <t>10 mg/mL</t>
        </is>
      </c>
      <c r="J155" t="inlineStr">
        <is>
          <t>Genitourinary</t>
        </is>
      </c>
      <c r="K155" t="inlineStr">
        <is>
          <t>Intermediate/poor risk patients with previously untreated, advanced or metastatic renal cell carcinoma (RCC)</t>
        </is>
      </c>
      <c r="L155" t="inlineStr">
        <is>
          <t>Yes</t>
        </is>
      </c>
      <c r="M155" s="3">
        <v>43287</v>
      </c>
      <c r="N155" t="inlineStr">
        <is>
          <t>Bristol-Myers Squibb</t>
        </is>
      </c>
      <c r="O155" t="inlineStr">
        <is>
          <t>Bristol-Myers Squibb</t>
        </is>
      </c>
      <c r="P155" s="3">
        <v>43223</v>
      </c>
      <c r="Q155" t="inlineStr">
        <is>
          <t>New Indication</t>
        </is>
      </c>
      <c r="R155" t="inlineStr">
        <is>
          <t>Requested and Granted</t>
        </is>
      </c>
      <c r="T155" s="3">
        <v>43271</v>
      </c>
      <c r="U155" s="3">
        <v>43328</v>
      </c>
      <c r="X155" s="3">
        <v>43391</v>
      </c>
      <c r="Y155" s="3">
        <v>43420</v>
      </c>
    </row>
    <row r="156">
      <c r="A156" s="2">
        <f>HYPERLINK("https://www.cadth.ca/larotrectinib-neurotrophic-tyrosine-receptor-kinase-ntrk-locally-advanced-or-metastatic-solid", "Vitrakvi")</f>
        <v>0</v>
      </c>
      <c r="B156" t="inlineStr">
        <is>
          <t>Larotrectinib</t>
        </is>
      </c>
      <c r="C156" t="inlineStr">
        <is>
          <t>Other Neurotrophic Tyrosine Receptor Kinase (NTRK) Locally Advanced or Metastatic Solid Tumours</t>
        </is>
      </c>
      <c r="E156" t="inlineStr">
        <is>
          <t>Notification to Implement Issued</t>
        </is>
      </c>
      <c r="F156" s="3">
        <v>43521</v>
      </c>
      <c r="G156" s="3">
        <v>43769</v>
      </c>
      <c r="H156" t="inlineStr">
        <is>
          <t>pCODR 10159</t>
        </is>
      </c>
      <c r="I156" t="inlineStr">
        <is>
          <t>25 mg, 100 mg &amp; 20 mg/mL</t>
        </is>
      </c>
      <c r="J156" t="inlineStr">
        <is>
          <t>Other</t>
        </is>
      </c>
      <c r="K156" t="inlineStr">
        <is>
          <t>For the treatment of adult and pediatric patients with locally advanced or metastatic solid tumours harbouring a Neurotrophic Tyrosine Receptor Kinase (NTRK) gene fusion. Additional criteria: Age ≥ 1 month; ECOG score of ≤3; Tumour harbouring NTRK1, NTRK2 or NTRK3 gene fusion confirmed by a validated diagnostic testing method; Patients eligible for larotrectinib should have no satisfactory alternative treatments or have progressed following treatment</t>
        </is>
      </c>
      <c r="L156" t="inlineStr">
        <is>
          <t>Yes</t>
        </is>
      </c>
      <c r="M156" s="3">
        <v>43656</v>
      </c>
      <c r="N156" t="inlineStr">
        <is>
          <t>Bayer Inc.</t>
        </is>
      </c>
      <c r="O156" t="inlineStr">
        <is>
          <t>Bayer Inc.</t>
        </is>
      </c>
      <c r="P156" s="3">
        <v>43553</v>
      </c>
      <c r="Q156" t="inlineStr">
        <is>
          <t>New Drug</t>
        </is>
      </c>
      <c r="T156" s="3">
        <v>43620</v>
      </c>
      <c r="U156" s="3">
        <v>43692</v>
      </c>
      <c r="X156" s="3">
        <v>43755</v>
      </c>
      <c r="Y156" s="3">
        <v>43784</v>
      </c>
    </row>
    <row r="157">
      <c r="A157" s="2">
        <f>HYPERLINK("https://www.cadth.ca/keytruda-squamous-nsclc-details", "Keytruda")</f>
        <v>0</v>
      </c>
      <c r="B157" t="inlineStr">
        <is>
          <t>Pembrolizumab</t>
        </is>
      </c>
      <c r="C157" t="inlineStr">
        <is>
          <t>Lung Squamous NSCLC</t>
        </is>
      </c>
      <c r="E157" t="inlineStr">
        <is>
          <t>Notification to Implement Issued</t>
        </is>
      </c>
      <c r="F157" s="3">
        <v>43504</v>
      </c>
      <c r="G157" s="3">
        <v>43833</v>
      </c>
      <c r="H157" t="inlineStr">
        <is>
          <t>pCODR 10176</t>
        </is>
      </c>
      <c r="I157" t="inlineStr">
        <is>
          <t>50 mg/vial &amp; 25 mg/mL</t>
        </is>
      </c>
      <c r="J157" t="inlineStr">
        <is>
          <t>Lung</t>
        </is>
      </c>
      <c r="K157" t="inlineStr">
        <is>
          <t>For the treatment of patients with metastatic squamous NSCLC in combination with carboplatin and either paclitaxel or nab-paclitaxel, in adults with no prior systemic chemotherapy treatment for metastatic NSCLC</t>
        </is>
      </c>
      <c r="L157" t="inlineStr">
        <is>
          <t>Yes</t>
        </is>
      </c>
      <c r="M157" s="3">
        <v>43650</v>
      </c>
      <c r="N157" t="inlineStr">
        <is>
          <t>Merck Canada</t>
        </is>
      </c>
      <c r="O157" t="inlineStr">
        <is>
          <t>Merck Canada</t>
        </is>
      </c>
      <c r="P157" s="3">
        <v>43521</v>
      </c>
      <c r="Q157" t="inlineStr">
        <is>
          <t>New Indication</t>
        </is>
      </c>
      <c r="T157" s="3">
        <v>43606</v>
      </c>
      <c r="U157" s="3">
        <v>43755</v>
      </c>
      <c r="X157" s="3">
        <v>43811</v>
      </c>
      <c r="Y157" s="3">
        <v>43850</v>
      </c>
      <c r="Z157" t="inlineStr">
        <is>
          <t>The pCODR Expert Review Committee (pERC) Recommendation was deferred on September 19, 2019 pending additional information from the review team.</t>
        </is>
      </c>
    </row>
    <row r="158">
      <c r="A158" s="2">
        <f>HYPERLINK("https://www.cadth.ca/lorlatinib-lorbrena-non-small-cell-lung-cancer-details", "Lorbrena")</f>
        <v>0</v>
      </c>
      <c r="B158" t="inlineStr">
        <is>
          <t>Lorlatinib</t>
        </is>
      </c>
      <c r="C158" t="inlineStr">
        <is>
          <t>Lung Non-Small Cell Lung Cancer (NSCLC)</t>
        </is>
      </c>
      <c r="E158" t="inlineStr">
        <is>
          <t>Notification to Implement Issued</t>
        </is>
      </c>
      <c r="F158" s="3">
        <v>43627</v>
      </c>
      <c r="G158" s="3">
        <v>43860</v>
      </c>
      <c r="H158" t="inlineStr">
        <is>
          <t>pCODR 10183</t>
        </is>
      </c>
      <c r="I158" t="inlineStr">
        <is>
          <t>25 mg &amp; 100 mg</t>
        </is>
      </c>
      <c r="J158" t="inlineStr">
        <is>
          <t>Lung</t>
        </is>
      </c>
      <c r="K158" t="inlineStr">
        <is>
          <t>For the treatment of adult patients with anaplastic lymphoma kinase (ALK)-positive metastatic non-small cell lung cancer (NSCLC) who have progressed on: crizotinib and at least one other ALK inhibitor, or patients who have progressed on ceritinib or alectinib.</t>
        </is>
      </c>
      <c r="L158" t="inlineStr">
        <is>
          <t>No</t>
        </is>
      </c>
      <c r="M158" s="3">
        <v>43518</v>
      </c>
      <c r="N158" t="inlineStr">
        <is>
          <t>Pfizer Canada ULC</t>
        </is>
      </c>
      <c r="O158" t="inlineStr">
        <is>
          <t>Pfizer Canada ULC</t>
        </is>
      </c>
      <c r="P158" s="3">
        <v>43641</v>
      </c>
      <c r="Q158" t="inlineStr">
        <is>
          <t>New Drug</t>
        </is>
      </c>
      <c r="T158" s="3">
        <v>43698</v>
      </c>
      <c r="U158" s="3">
        <v>43790</v>
      </c>
      <c r="X158" s="3">
        <v>43846</v>
      </c>
      <c r="Y158" s="3">
        <v>43875</v>
      </c>
    </row>
    <row r="159">
      <c r="A159" s="2">
        <f>HYPERLINK("https://www.cadth.ca/ibritumomab-tiuxetan-zevalin-non-hodgkins-lymphoma-nhl-details", "Zevalin")</f>
        <v>0</v>
      </c>
      <c r="B159" t="inlineStr">
        <is>
          <t>Ibritumomab tiuxetan</t>
        </is>
      </c>
      <c r="C159" t="inlineStr">
        <is>
          <t>Lymphoma Non-Hodgkin’s Lymphoma (NHL)</t>
        </is>
      </c>
      <c r="E159" t="inlineStr">
        <is>
          <t>Not Filed</t>
        </is>
      </c>
      <c r="J159" t="inlineStr">
        <is>
          <t>Lymphoma</t>
        </is>
      </c>
      <c r="N159" t="inlineStr">
        <is>
          <t>Servier Canada Inc.</t>
        </is>
      </c>
      <c r="Q159" t="inlineStr">
        <is>
          <t>Non-Submission</t>
        </is>
      </c>
      <c r="Z159" t="inlineStr">
        <is>
          <t>CADTH is unable to recommend reimbursement of the relevant product because a submission to CADTH was not filed by the manufacturer.</t>
        </is>
      </c>
    </row>
    <row r="160">
      <c r="A160" s="2">
        <f>HYPERLINK("https://www.cadth.ca/kisqali-fulvestrant-advanced-or-metastatic-breast-cancer-details", "Kisqali")</f>
        <v>0</v>
      </c>
      <c r="B160" t="inlineStr">
        <is>
          <t>Ribociclib with Fulvestrant</t>
        </is>
      </c>
      <c r="C160" t="inlineStr">
        <is>
          <t>Breast Advanced or Metastatic Breast Cancer</t>
        </is>
      </c>
      <c r="E160" t="inlineStr">
        <is>
          <t>Notification to Implement Issued</t>
        </is>
      </c>
      <c r="F160" s="3">
        <v>43703</v>
      </c>
      <c r="G160" s="3">
        <v>43943</v>
      </c>
      <c r="H160" t="inlineStr">
        <is>
          <t>pCODR 10195</t>
        </is>
      </c>
      <c r="I160" t="inlineStr">
        <is>
          <t>200 mg</t>
        </is>
      </c>
      <c r="J160" t="inlineStr">
        <is>
          <t>Breast</t>
        </is>
      </c>
      <c r="K160" t="inlineStr">
        <is>
          <t>In combination with fulvestrant for the treatment of postmenopausal women with HR-positive, HER2-negative advanced or metastatic breast cancer, as initial therapy or following disease progression on endocrine therapy</t>
        </is>
      </c>
      <c r="L160" t="inlineStr">
        <is>
          <t>Yes</t>
        </is>
      </c>
      <c r="M160" s="3">
        <v>43868</v>
      </c>
      <c r="N160" t="inlineStr">
        <is>
          <t>Novartis Pharmaceuticals Canada Inc.</t>
        </is>
      </c>
      <c r="O160" t="inlineStr">
        <is>
          <t>Novartis Pharmaceuticals Canada Inc.</t>
        </is>
      </c>
      <c r="P160" s="3">
        <v>43718</v>
      </c>
      <c r="Q160" t="inlineStr">
        <is>
          <t>New Indication</t>
        </is>
      </c>
      <c r="T160" s="3">
        <v>43787</v>
      </c>
      <c r="U160" s="3">
        <v>43909</v>
      </c>
      <c r="Y160" s="3">
        <v>43958</v>
      </c>
    </row>
    <row r="161">
      <c r="A161" s="2">
        <f>HYPERLINK("https://www.cadth.ca/atezolizumab-tecentriq-advanced-or-metastatic-triple-negative-breast-cancer-details", "Tecentriq")</f>
        <v>0</v>
      </c>
      <c r="B161" t="inlineStr">
        <is>
          <t>Atezolizumab</t>
        </is>
      </c>
      <c r="C161" t="inlineStr">
        <is>
          <t>Breast Advanced or Metastatic Triple-Negative Breast Cancer (TNBC)</t>
        </is>
      </c>
      <c r="E161" t="inlineStr">
        <is>
          <t>Withdrawn</t>
        </is>
      </c>
      <c r="F161" s="3">
        <v>43740</v>
      </c>
      <c r="H161" t="inlineStr">
        <is>
          <t>pCODR 10171</t>
        </is>
      </c>
      <c r="I161" t="inlineStr">
        <is>
          <t>840 mg/14 mL &amp; 1200 mg/20 mL</t>
        </is>
      </c>
      <c r="J161" t="inlineStr">
        <is>
          <t>Breast</t>
        </is>
      </c>
      <c r="K161" t="inlineStr">
        <is>
          <t>In combination with nab-paclitaxel for the treatment of adult patients with unresectable, locally advanced or metastatic triple-negative breast cancer (TNBC) whose tumours express PD-L1, and who have not received prior chemotherapy for metastatic disease. Maintenance TECENTRIQ should be continued until disease progression or unacceptable toxicity.</t>
        </is>
      </c>
      <c r="L161" t="inlineStr">
        <is>
          <t>No</t>
        </is>
      </c>
      <c r="M161" s="3">
        <v>43727</v>
      </c>
      <c r="N161" t="inlineStr">
        <is>
          <t>Hoffmann-La Roche Limited</t>
        </is>
      </c>
      <c r="O161" t="inlineStr">
        <is>
          <t>Hoffmann-La Roche Limited</t>
        </is>
      </c>
      <c r="P161" s="3">
        <v>43755</v>
      </c>
      <c r="Q161" t="inlineStr">
        <is>
          <t>New Indication</t>
        </is>
      </c>
      <c r="T161" s="3">
        <v>43817</v>
      </c>
      <c r="Z161" t="inlineStr">
        <is>
          <t>Hoffmann-La Roche Limited has requested a voluntary withdrawal of the pCODR 10171 Atezolizumab (Tecentriq) for MBC submission.</t>
        </is>
      </c>
    </row>
    <row r="162">
      <c r="A162" s="2">
        <f>HYPERLINK("https://www.cadth.ca/bevacizumab-tbd-mcrc-nsclc-biosimilar-details", "TBD")</f>
        <v>0</v>
      </c>
      <c r="B162" t="inlineStr">
        <is>
          <t>Bevacizumab</t>
        </is>
      </c>
      <c r="C162" t="inlineStr">
        <is>
          <t>Gastrointestinal / Lung  Metastatic Colorectal Cancer; Non-Small Cell Lung Cancer Biosimilar</t>
        </is>
      </c>
      <c r="E162" t="inlineStr">
        <is>
          <t>File Closed</t>
        </is>
      </c>
      <c r="F162" s="3">
        <v>43538</v>
      </c>
      <c r="H162" t="inlineStr">
        <is>
          <t>pCODR 10178</t>
        </is>
      </c>
      <c r="J162" t="inlineStr">
        <is>
          <t>Gastrointestinal / Lung</t>
        </is>
      </c>
      <c r="K162" t="inlineStr">
        <is>
          <t>Metastatic Colorectal Cancer (mCRC); Non-Small Cell Lung Cancer (NSCLC)</t>
        </is>
      </c>
      <c r="L162" t="inlineStr">
        <is>
          <t>Yes</t>
        </is>
      </c>
      <c r="N162" t="inlineStr">
        <is>
          <t>Pfizer Canada Inc.</t>
        </is>
      </c>
      <c r="O162" t="inlineStr">
        <is>
          <t>Pfizer Canada Inc.</t>
        </is>
      </c>
      <c r="P162" s="3">
        <v>43552</v>
      </c>
      <c r="Q162" t="inlineStr">
        <is>
          <t>Biosimilar – New Drug</t>
        </is>
      </c>
    </row>
    <row r="163">
      <c r="A163" s="2">
        <f>HYPERLINK("https://www.cadth.ca/brentuximab-vedotin-adcetris-hodgkin-lymphoma-combination-doxorubicin-vinblastine-and-dacarbazine", "Adcetris")</f>
        <v>0</v>
      </c>
      <c r="B163" t="inlineStr">
        <is>
          <t>Brentuximab Vedotin</t>
        </is>
      </c>
      <c r="C163" t="inlineStr">
        <is>
          <t>Lymphoma Stage IV Hodgkin lymphoma (HL) in combination with doxorubicin, vinblastine, and dacarbazine (AVD)</t>
        </is>
      </c>
      <c r="E163" t="inlineStr">
        <is>
          <t>Under Review</t>
        </is>
      </c>
      <c r="F163" s="3">
        <v>43923</v>
      </c>
      <c r="H163" t="inlineStr">
        <is>
          <t>pCODR 10214</t>
        </is>
      </c>
      <c r="I163" t="inlineStr">
        <is>
          <t>50 mg</t>
        </is>
      </c>
      <c r="J163" t="inlineStr">
        <is>
          <t>Lymphoma</t>
        </is>
      </c>
      <c r="K163" t="inlineStr">
        <is>
          <t>For the treatment of previously untreated patients with Stage IV Hodgkin lymphoma (HL) in combination with doxorubicin, vinblastine, and dacarbazine (AVD).</t>
        </is>
      </c>
      <c r="L163" t="inlineStr">
        <is>
          <t>No</t>
        </is>
      </c>
      <c r="M163" s="3">
        <v>43587</v>
      </c>
      <c r="N163" t="inlineStr">
        <is>
          <t>Seattle Genetics, Inc.</t>
        </is>
      </c>
      <c r="O163" t="inlineStr">
        <is>
          <t>Seattle Genetics, Inc.</t>
        </is>
      </c>
      <c r="P163" s="3">
        <v>43942</v>
      </c>
      <c r="Q163" t="inlineStr">
        <is>
          <t>New Indication</t>
        </is>
      </c>
      <c r="T163" s="3">
        <v>43985</v>
      </c>
      <c r="U163" s="3">
        <v>44091</v>
      </c>
    </row>
    <row r="164">
      <c r="A164" s="2">
        <f>HYPERLINK("https://www.cadth.ca/acalabrutinib-calquence-previously-untreated-chronic-lymphocytic-leukemia-details", "Calquence")</f>
        <v>0</v>
      </c>
      <c r="B164" t="inlineStr">
        <is>
          <t>Acalabrutinib</t>
        </is>
      </c>
      <c r="C164" t="inlineStr">
        <is>
          <t>Leukemia Chronic Lymphocytic Leukemia (CLL) (previously untreated)</t>
        </is>
      </c>
      <c r="E164" t="inlineStr">
        <is>
          <t>Open for Feedback on Recommendation</t>
        </is>
      </c>
      <c r="F164" s="3">
        <v>43928</v>
      </c>
      <c r="H164" t="inlineStr">
        <is>
          <t>pCODR 10210</t>
        </is>
      </c>
      <c r="I164" t="inlineStr">
        <is>
          <t>100 mg</t>
        </is>
      </c>
      <c r="J164" t="inlineStr">
        <is>
          <t>Leukemia</t>
        </is>
      </c>
      <c r="K164" t="inlineStr">
        <is>
          <t>With or without obinutuzumab, for the treatment of patients with previously untreated chronic lymphocytic leukemia (CLL) for whom a fludarabine-based regimen is inappropriate.</t>
        </is>
      </c>
      <c r="L164" t="inlineStr">
        <is>
          <t>No</t>
        </is>
      </c>
      <c r="M164" s="3">
        <v>43797</v>
      </c>
      <c r="N164" t="inlineStr">
        <is>
          <t>AstraZeneca Canada Inc.</t>
        </is>
      </c>
      <c r="O164" t="inlineStr">
        <is>
          <t>AstraZeneca Canada Inc.</t>
        </is>
      </c>
      <c r="P164" s="3">
        <v>43976</v>
      </c>
      <c r="Q164" t="inlineStr">
        <is>
          <t>New Drug</t>
        </is>
      </c>
      <c r="T164" s="3">
        <v>44032</v>
      </c>
      <c r="U164" s="3">
        <v>44119</v>
      </c>
    </row>
    <row r="165">
      <c r="A165" s="2">
        <f>HYPERLINK("https://www.cadth.ca/tecentriq-avastin-hepatocellular-carcinoma-details", "Tecentriq &amp; Avastin")</f>
        <v>0</v>
      </c>
      <c r="B165" t="inlineStr">
        <is>
          <t>Atezolizumab &amp; Bevacizumab</t>
        </is>
      </c>
      <c r="C165" t="inlineStr">
        <is>
          <t>Gastrointestinal Hepatocellular Carcinoma (HCC)</t>
        </is>
      </c>
      <c r="E165" t="inlineStr">
        <is>
          <t>Open for Feedback on Recommendation</t>
        </is>
      </c>
      <c r="F165" s="3">
        <v>43972</v>
      </c>
      <c r="H165" t="inlineStr">
        <is>
          <t>pCODR 10217</t>
        </is>
      </c>
      <c r="I165" t="inlineStr">
        <is>
          <t>1200 mg/20 mL and 840 mg/14 mL</t>
        </is>
      </c>
      <c r="J165" t="inlineStr">
        <is>
          <t>Gastrointestinal</t>
        </is>
      </c>
      <c r="K165" t="inlineStr">
        <is>
          <t>TECENTRIQ (atezolizumab), in combination with AVASTIN (bevacizumab), for the first-line treatment of adult patients with unresectable or metastatic hepatocellular carcinoma (HCC) who require systemic therapy. Maintenance TECENTRIQ should continue until loss of clinical benefit or unacceptable toxicity. Maintenance AVASTIN should continue until loss of clinical benefit or unacceptable toxicity.</t>
        </is>
      </c>
      <c r="L165" t="inlineStr">
        <is>
          <t>Yes</t>
        </is>
      </c>
      <c r="M165" s="3">
        <v>44050</v>
      </c>
      <c r="N165" t="inlineStr">
        <is>
          <t>Hoffmann-La Roche Limited</t>
        </is>
      </c>
      <c r="O165" t="inlineStr">
        <is>
          <t>Hoffmann-La Roche Limited</t>
        </is>
      </c>
      <c r="P165" s="3">
        <v>43986</v>
      </c>
      <c r="Q165" t="inlineStr">
        <is>
          <t>New Indication</t>
        </is>
      </c>
      <c r="T165" s="3">
        <v>44049</v>
      </c>
      <c r="U165" s="3">
        <v>44119</v>
      </c>
    </row>
    <row r="166">
      <c r="A166" s="2">
        <f>HYPERLINK("https://www.cadth.ca/abraxane-metastatic-pancreatic-cancer-details", "Abraxane")</f>
        <v>0</v>
      </c>
      <c r="B166" t="inlineStr">
        <is>
          <t>Nab-paclitaxel</t>
        </is>
      </c>
      <c r="C166" t="inlineStr">
        <is>
          <t>Gastrointestinal Metastatic Pancreatic Cancer</t>
        </is>
      </c>
      <c r="E166" t="inlineStr">
        <is>
          <t>Notification to Implement Issued</t>
        </is>
      </c>
      <c r="F166" s="3">
        <v>41684</v>
      </c>
      <c r="G166" s="3">
        <v>41905</v>
      </c>
      <c r="H166" t="inlineStr">
        <is>
          <t>pCODR 10037</t>
        </is>
      </c>
      <c r="I166" t="inlineStr">
        <is>
          <t>100 mg/vial</t>
        </is>
      </c>
      <c r="J166" t="inlineStr">
        <is>
          <t>Gastrointestinal</t>
        </is>
      </c>
      <c r="K166" t="inlineStr">
        <is>
          <t>For the first line treatment of patients with metastatic adenocarcinoma of the pancreas, in combination with gemcitabine.</t>
        </is>
      </c>
      <c r="L166" t="inlineStr">
        <is>
          <t>Yes</t>
        </is>
      </c>
      <c r="M166" s="3">
        <v>41836</v>
      </c>
      <c r="N166" t="inlineStr">
        <is>
          <t>Celgene Inc.</t>
        </is>
      </c>
      <c r="O166" t="inlineStr">
        <is>
          <t>Celgene Inc.</t>
        </is>
      </c>
      <c r="P166" s="3">
        <v>41694</v>
      </c>
      <c r="Q166" t="inlineStr">
        <is>
          <t>New Indication</t>
        </is>
      </c>
      <c r="R166" t="inlineStr">
        <is>
          <t>Not Requested</t>
        </is>
      </c>
      <c r="T166" s="3">
        <v>41759</v>
      </c>
      <c r="U166" s="3">
        <v>41872</v>
      </c>
      <c r="Y166" s="3">
        <v>41920</v>
      </c>
      <c r="Z166" t="inlineStr">
        <is>
          <t>A delay in the receipt of marketing authorization (NOC) from Health Canada has impacted the review timeline.</t>
        </is>
      </c>
    </row>
    <row r="167">
      <c r="A167" s="2">
        <f>HYPERLINK("https://www.cadth.ca/pemetrexed-alimta-advanced-non-squamous-non-small-cell-lung-cancer-ns-nsclc-details", "Alimta")</f>
        <v>0</v>
      </c>
      <c r="B167" t="inlineStr">
        <is>
          <t>Pemetrexed</t>
        </is>
      </c>
      <c r="C167" t="inlineStr">
        <is>
          <t>Lung Advanced Non-Squamous Non Small Cell Lung Cancer</t>
        </is>
      </c>
      <c r="E167" t="inlineStr">
        <is>
          <t>Notification to Implement Issued</t>
        </is>
      </c>
      <c r="F167" s="3">
        <v>41425</v>
      </c>
      <c r="G167" s="3">
        <v>41597</v>
      </c>
      <c r="H167" t="inlineStr">
        <is>
          <t>pCODR 10027</t>
        </is>
      </c>
      <c r="I167" t="inlineStr">
        <is>
          <t>100mg/vial and 500mg/vial</t>
        </is>
      </c>
      <c r="J167" t="inlineStr">
        <is>
          <t>Lung</t>
        </is>
      </c>
      <c r="K167" t="inlineStr">
        <is>
          <t>For maintenance following first-line pemetrexed and cisplatin for advanced or metastatic Non Squamous -Non Small Cell Lung Cancer (NS-NSCLC)</t>
        </is>
      </c>
      <c r="L167" t="inlineStr">
        <is>
          <t>No</t>
        </is>
      </c>
      <c r="M167" s="3">
        <v>41403</v>
      </c>
      <c r="N167" t="inlineStr">
        <is>
          <t>Eli Lilly Canada</t>
        </is>
      </c>
      <c r="O167" t="inlineStr">
        <is>
          <t>Eli Lilly Canada</t>
        </is>
      </c>
      <c r="P167" s="3">
        <v>41438</v>
      </c>
      <c r="Q167" t="inlineStr">
        <is>
          <t>New Indication</t>
        </is>
      </c>
      <c r="R167" t="inlineStr">
        <is>
          <t>Not Requested</t>
        </is>
      </c>
      <c r="T167" s="3">
        <v>41516</v>
      </c>
      <c r="U167" s="3">
        <v>41564</v>
      </c>
      <c r="Y167" s="3">
        <v>41612</v>
      </c>
    </row>
    <row r="168">
      <c r="A168" s="2">
        <f>HYPERLINK("https://www.cadth.ca/gazyva-chronic-lymphocytic-leukemia-details", "Gazyva")</f>
        <v>0</v>
      </c>
      <c r="B168" t="inlineStr">
        <is>
          <t>Obinutuzumab</t>
        </is>
      </c>
      <c r="C168" t="inlineStr">
        <is>
          <t>Leukemia Chronic Lymphocytic Leukemia</t>
        </is>
      </c>
      <c r="E168" t="inlineStr">
        <is>
          <t>Notification to Implement Issued</t>
        </is>
      </c>
      <c r="F168" s="3">
        <v>41862</v>
      </c>
      <c r="G168" s="3">
        <v>42031</v>
      </c>
      <c r="H168" t="inlineStr">
        <is>
          <t>pCODR 10041</t>
        </is>
      </c>
      <c r="I168" t="inlineStr">
        <is>
          <t>1000 mg/ vial</t>
        </is>
      </c>
      <c r="J168" t="inlineStr">
        <is>
          <t>Leukemia</t>
        </is>
      </c>
      <c r="K168" t="inlineStr">
        <is>
          <t>In combination with chlorambucil for previously untreated chronic lymphocytic leukemia where fludarabine-based therapy is considered inappropriate</t>
        </is>
      </c>
      <c r="L168" t="inlineStr">
        <is>
          <t>Yes</t>
        </is>
      </c>
      <c r="M168" s="3">
        <v>41968</v>
      </c>
      <c r="N168" t="inlineStr">
        <is>
          <t>Hoffmann-La Roche Limited</t>
        </is>
      </c>
      <c r="O168" t="inlineStr">
        <is>
          <t>Hoffmann-La Roche Limited</t>
        </is>
      </c>
      <c r="P168" s="3">
        <v>41869</v>
      </c>
      <c r="Q168" t="inlineStr">
        <is>
          <t>New Drug</t>
        </is>
      </c>
      <c r="R168" t="inlineStr">
        <is>
          <t>Requested and Granted</t>
        </is>
      </c>
      <c r="T168" s="3">
        <v>41913</v>
      </c>
      <c r="U168" s="3">
        <v>41991</v>
      </c>
      <c r="Y168" s="3">
        <v>42046</v>
      </c>
      <c r="Z168" t="inlineStr">
        <is>
          <t>The Manufacturer had advised that Category 2 submission requirements for a pre-NOC submission will not be available to complete the submission for a November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is>
      </c>
    </row>
    <row r="169">
      <c r="A169" s="2">
        <f>HYPERLINK("https://www.cadth.ca/jakavi-myelofibrosis", "Jakavi")</f>
        <v>0</v>
      </c>
      <c r="B169" t="inlineStr">
        <is>
          <t>Ruxolitinib</t>
        </is>
      </c>
      <c r="C169" t="inlineStr">
        <is>
          <t>Other Myelofibrosis</t>
        </is>
      </c>
      <c r="E169" t="inlineStr">
        <is>
          <t>Notification to Implement Issued</t>
        </is>
      </c>
      <c r="F169" s="3">
        <v>41085</v>
      </c>
      <c r="G169" s="3">
        <v>41288</v>
      </c>
      <c r="H169" t="inlineStr">
        <is>
          <t>pCODR 10012</t>
        </is>
      </c>
      <c r="I169" t="inlineStr">
        <is>
          <t>5mg, 15mg, and 20mg</t>
        </is>
      </c>
      <c r="J169" t="inlineStr">
        <is>
          <t>Other</t>
        </is>
      </c>
      <c r="K169" t="inlineStr">
        <is>
          <t>For the treatment of patients with myelofibrosis, including primary myelofibrosis, post-polycythemia vera myelofibrosis or post-essential thrombocythemia myelofibrosis.</t>
        </is>
      </c>
      <c r="L169" t="inlineStr">
        <is>
          <t>No</t>
        </is>
      </c>
      <c r="M169" s="3">
        <v>41079</v>
      </c>
      <c r="N169" t="inlineStr">
        <is>
          <t>Novartis Pharmaceuticals Canada Inc.</t>
        </is>
      </c>
      <c r="O169" t="inlineStr">
        <is>
          <t>Novartis Pharmaceuticals Canada Inc.</t>
        </is>
      </c>
      <c r="P169" s="3">
        <v>41093</v>
      </c>
      <c r="Q169" t="inlineStr">
        <is>
          <t>New Drug</t>
        </is>
      </c>
      <c r="R169" t="inlineStr">
        <is>
          <t>Not Requested</t>
        </is>
      </c>
      <c r="T169" s="3">
        <v>41136</v>
      </c>
      <c r="U169" s="3">
        <v>41200</v>
      </c>
      <c r="X169" s="3">
        <v>41263</v>
      </c>
      <c r="Y169" s="3">
        <v>41303</v>
      </c>
    </row>
    <row r="170">
      <c r="A170" s="2">
        <f>HYPERLINK("https://www.cadth.ca/mekinist-metastatic-melanoma-details", "Mekinist")</f>
        <v>0</v>
      </c>
      <c r="B170" t="inlineStr">
        <is>
          <t>Trametinib</t>
        </is>
      </c>
      <c r="C170" t="inlineStr">
        <is>
          <t>Skin and Melanoma Metastatic Melanoma</t>
        </is>
      </c>
      <c r="E170" t="inlineStr">
        <is>
          <t>Notification to Implement Issued</t>
        </is>
      </c>
      <c r="F170" s="3">
        <v>41400</v>
      </c>
      <c r="G170" s="3">
        <v>41569</v>
      </c>
      <c r="H170" t="inlineStr">
        <is>
          <t>pCODR 10030</t>
        </is>
      </c>
      <c r="I170" t="inlineStr">
        <is>
          <t>0.5 mg, 1.0 mg and 2.0 mg tablet</t>
        </is>
      </c>
      <c r="J170" t="inlineStr">
        <is>
          <t>Skin and Melanoma</t>
        </is>
      </c>
      <c r="K170" t="inlineStr">
        <is>
          <t>For use as a monotherapy for the treatment of patients with unresectable or metastatic melanoma with a BRAF V600 mutation.</t>
        </is>
      </c>
      <c r="L170" t="inlineStr">
        <is>
          <t>Yes</t>
        </is>
      </c>
      <c r="M170" s="3">
        <v>41473</v>
      </c>
      <c r="N170" t="inlineStr">
        <is>
          <t>GlaxoSmithKline</t>
        </is>
      </c>
      <c r="O170" t="inlineStr">
        <is>
          <t>GlaxoSmithKline</t>
        </is>
      </c>
      <c r="P170" s="3">
        <v>41408</v>
      </c>
      <c r="Q170" t="inlineStr">
        <is>
          <t>New Drug</t>
        </is>
      </c>
      <c r="R170" t="inlineStr">
        <is>
          <t>Not Requested</t>
        </is>
      </c>
      <c r="T170" s="3">
        <v>41485</v>
      </c>
      <c r="U170" s="3">
        <v>41536</v>
      </c>
      <c r="Y170" s="3">
        <v>41584</v>
      </c>
    </row>
    <row r="171">
      <c r="A171" s="2">
        <f>HYPERLINK("https://www.cadth.ca/proleukin-transit-melanoma-details", "Proleukin")</f>
        <v>0</v>
      </c>
      <c r="B171" t="inlineStr">
        <is>
          <t>Aldesleukin (IL-2)</t>
        </is>
      </c>
      <c r="C171" t="inlineStr">
        <is>
          <t>Skin and Melanoma In-transit Melanoma</t>
        </is>
      </c>
      <c r="E171" t="inlineStr">
        <is>
          <t>Notification to Implement Issued</t>
        </is>
      </c>
      <c r="F171" s="3">
        <v>42034</v>
      </c>
      <c r="G171" s="3">
        <v>42177</v>
      </c>
      <c r="H171" t="inlineStr">
        <is>
          <t>pCODR 10051</t>
        </is>
      </c>
      <c r="I171" t="inlineStr">
        <is>
          <t>22 million IU/vial</t>
        </is>
      </c>
      <c r="J171" t="inlineStr">
        <is>
          <t>Skin and Melanoma</t>
        </is>
      </c>
      <c r="K171" t="inlineStr">
        <is>
          <t>Administered intra-lesionally, for the treatment of in-transit metastasis from melanoma in patients who have failed or are not candidates for surgery or other treatments</t>
        </is>
      </c>
      <c r="L171" t="inlineStr">
        <is>
          <t>Yes</t>
        </is>
      </c>
      <c r="M171" s="3" t="inlineStr">
        <is>
          <t>N/A</t>
        </is>
      </c>
      <c r="N171" t="inlineStr">
        <is>
          <t>Novartis Pharmaceuticals Canada Inc.</t>
        </is>
      </c>
      <c r="O171" t="inlineStr">
        <is>
          <t>Cancer Care Ontario Melanoma Disease Site Group</t>
        </is>
      </c>
      <c r="P171" s="3">
        <v>42041</v>
      </c>
      <c r="Q171" t="inlineStr">
        <is>
          <t>New Indication</t>
        </is>
      </c>
      <c r="R171" t="inlineStr">
        <is>
          <t>Not Requested</t>
        </is>
      </c>
      <c r="T171" s="3">
        <v>42089</v>
      </c>
      <c r="U171" s="3">
        <v>42145</v>
      </c>
      <c r="Y171" s="3">
        <v>42193</v>
      </c>
    </row>
    <row r="172">
      <c r="A172" s="2">
        <f>HYPERLINK("https://www.cadth.ca/tafinlar-metastatic-melanoma-details", "Tafinlar")</f>
        <v>0</v>
      </c>
      <c r="B172" t="inlineStr">
        <is>
          <t>Dabrafenib</t>
        </is>
      </c>
      <c r="C172" t="inlineStr">
        <is>
          <t>Skin and Melanoma Metastatic Melanoma</t>
        </is>
      </c>
      <c r="E172" t="inlineStr">
        <is>
          <t>Notification to Implement Issued</t>
        </is>
      </c>
      <c r="F172" s="3">
        <v>41351</v>
      </c>
      <c r="G172" s="3">
        <v>41613</v>
      </c>
      <c r="H172" t="inlineStr">
        <is>
          <t>pCODR 10025</t>
        </is>
      </c>
      <c r="I172" t="inlineStr">
        <is>
          <t>50 mg and 75 mg capsule</t>
        </is>
      </c>
      <c r="J172" t="inlineStr">
        <is>
          <t>Skin and Melanoma</t>
        </is>
      </c>
      <c r="K172" t="inlineStr">
        <is>
          <t>For use as monotherapy for the treatment of patients with unresectable or metastatic melanoma, with a BRAF V600 mutation</t>
        </is>
      </c>
      <c r="L172" t="inlineStr">
        <is>
          <t>Yes</t>
        </is>
      </c>
      <c r="M172" s="3">
        <v>41471</v>
      </c>
      <c r="N172" t="inlineStr">
        <is>
          <t>GlaxoSmithKline</t>
        </is>
      </c>
      <c r="O172" t="inlineStr">
        <is>
          <t>GlaxoSmithKline</t>
        </is>
      </c>
      <c r="P172" s="3">
        <v>41361</v>
      </c>
      <c r="Q172" t="inlineStr">
        <is>
          <t>New Drug</t>
        </is>
      </c>
      <c r="R172" t="inlineStr">
        <is>
          <t>Not Requested</t>
        </is>
      </c>
      <c r="T172" s="3">
        <v>41449</v>
      </c>
      <c r="U172" s="3">
        <v>41536</v>
      </c>
      <c r="X172" s="3">
        <v>41599</v>
      </c>
      <c r="Y172" s="3">
        <v>41628</v>
      </c>
      <c r="Z172" t="inlineStr">
        <is>
          <t>A delay in the receipt of marketing authorization (NOC) from Health Canada has impacted the review timeline.</t>
        </is>
      </c>
    </row>
    <row r="173">
      <c r="A173" s="2">
        <f>HYPERLINK("https://www.cadth.ca/trisenox-acute-promyelocytic-leukemia-details", "Trisenox")</f>
        <v>0</v>
      </c>
      <c r="B173" t="inlineStr">
        <is>
          <t>Arsenic Trioxide</t>
        </is>
      </c>
      <c r="C173" t="inlineStr">
        <is>
          <t>Leukemia Acute Promyelocytic Leukemia</t>
        </is>
      </c>
      <c r="E173" t="inlineStr">
        <is>
          <t>Notification to Implement Issued</t>
        </is>
      </c>
      <c r="F173" s="3">
        <v>41516</v>
      </c>
      <c r="G173" s="3">
        <v>41688</v>
      </c>
      <c r="H173" t="inlineStr">
        <is>
          <t>pCODR 10033</t>
        </is>
      </c>
      <c r="I173" t="inlineStr">
        <is>
          <t>1 mg/mL</t>
        </is>
      </c>
      <c r="J173" t="inlineStr">
        <is>
          <t>Leukemia</t>
        </is>
      </c>
      <c r="K173" t="inlineStr">
        <is>
          <t>For patients who were refractory to or relapsed from previous treatment and newly diagnosed APL patients who have received no prior treatment</t>
        </is>
      </c>
      <c r="L173" t="inlineStr">
        <is>
          <t>No</t>
        </is>
      </c>
      <c r="M173" s="3">
        <v>41432</v>
      </c>
      <c r="N173" t="inlineStr">
        <is>
          <t>Lundbeck Canada Inc.</t>
        </is>
      </c>
      <c r="O173" t="inlineStr">
        <is>
          <t>Lundbeck Canada Inc.</t>
        </is>
      </c>
      <c r="P173" s="3">
        <v>41526</v>
      </c>
      <c r="Q173" t="inlineStr">
        <is>
          <t>New Drug</t>
        </is>
      </c>
      <c r="R173" t="inlineStr">
        <is>
          <t>Requested and Granted</t>
        </is>
      </c>
      <c r="T173" s="3">
        <v>41590</v>
      </c>
      <c r="U173" s="3">
        <v>41655</v>
      </c>
      <c r="Y173" s="3">
        <v>41703</v>
      </c>
    </row>
    <row r="174">
      <c r="A174" s="2">
        <f>HYPERLINK("https://www.cadth.ca/xalkori-advanced-nsclc-resubmission-details", "Xalkori")</f>
        <v>0</v>
      </c>
      <c r="B174" t="inlineStr">
        <is>
          <t>Crizotinib</t>
        </is>
      </c>
      <c r="C174" t="inlineStr">
        <is>
          <t>Lung Advanced Non-Small Cell Lung Cancer</t>
        </is>
      </c>
      <c r="E174" t="inlineStr">
        <is>
          <t>Notification to Implement Issued Original Submission Complete</t>
        </is>
      </c>
      <c r="F174" s="3">
        <v>41205</v>
      </c>
      <c r="G174" s="3">
        <v>41396</v>
      </c>
      <c r="H174" t="inlineStr">
        <is>
          <t>pCODR 10017</t>
        </is>
      </c>
      <c r="I174" t="inlineStr">
        <is>
          <t>200mg and 250mg</t>
        </is>
      </c>
      <c r="J174" t="inlineStr">
        <is>
          <t>Lung</t>
        </is>
      </c>
      <c r="K174" t="inlineStr">
        <is>
          <t>As monotherapy for use in patients with anaplastic lymphoma kinase (ALK)-positive advanced (not amenable to curative therapy) or metastatic non-small cell lung cancer (NSCLC)</t>
        </is>
      </c>
      <c r="L174" t="inlineStr">
        <is>
          <t>No</t>
        </is>
      </c>
      <c r="M174" s="3">
        <v>41024</v>
      </c>
      <c r="N174" t="inlineStr">
        <is>
          <t>Pfizer Canada Inc.</t>
        </is>
      </c>
      <c r="O174" t="inlineStr">
        <is>
          <t>Pfizer Canada Inc.</t>
        </is>
      </c>
      <c r="P174" s="3">
        <v>41215</v>
      </c>
      <c r="Q174" t="inlineStr">
        <is>
          <t>Resubmission</t>
        </is>
      </c>
      <c r="R174" t="inlineStr">
        <is>
          <t>Not Requested</t>
        </is>
      </c>
      <c r="T174" s="3">
        <v>41262</v>
      </c>
      <c r="U174" s="3">
        <v>41326</v>
      </c>
      <c r="X174" s="3">
        <v>41382</v>
      </c>
      <c r="Y174" s="3">
        <v>41411</v>
      </c>
      <c r="Z174" t="inlineStr">
        <is>
          <t>As per pCODR Procedures D3.2, due to the short time frame between the original submission and the resubmission, pCODR will not be seeking new patient advocacy group input. The most recent patient advocacy group input received on the original submission related to Crizotinib (Xalkori) for Advanced NSCLC will be provided to the Review Team to incorporate into the Clinical and Economic Guidance Reports and to pERC for the purposes of their deliberation.</t>
        </is>
      </c>
    </row>
    <row r="175">
      <c r="A175" s="2">
        <f>HYPERLINK("https://www.cadth.ca/yervoy-first-line-advanced-melanoma-details", "Yervoy")</f>
        <v>0</v>
      </c>
      <c r="B175" t="inlineStr">
        <is>
          <t>Ipilimumab</t>
        </is>
      </c>
      <c r="C175" t="inlineStr">
        <is>
          <t>Skin and Melanoma First Line Advanced Melanoma</t>
        </is>
      </c>
      <c r="E175" t="inlineStr">
        <is>
          <t>Notification to Implement Issued</t>
        </is>
      </c>
      <c r="F175" s="3">
        <v>41866</v>
      </c>
      <c r="G175" s="3">
        <v>41995</v>
      </c>
      <c r="H175" t="inlineStr">
        <is>
          <t>pCODR 10042</t>
        </is>
      </c>
      <c r="I175" t="inlineStr">
        <is>
          <t>5mg/mL</t>
        </is>
      </c>
      <c r="J175" t="inlineStr">
        <is>
          <t>Skin and Melanoma</t>
        </is>
      </c>
      <c r="K175" t="inlineStr">
        <is>
          <t>For the first-line treatment of adult patients with advanced (unresectable or metastatic) melanoma</t>
        </is>
      </c>
      <c r="L175" t="inlineStr">
        <is>
          <t>Yes</t>
        </is>
      </c>
      <c r="M175" s="3">
        <v>41892</v>
      </c>
      <c r="N175" t="inlineStr">
        <is>
          <t>Bristol-Myers Squibb Canada</t>
        </is>
      </c>
      <c r="O175" t="inlineStr">
        <is>
          <t>Bristol-Myers Squibb Canada</t>
        </is>
      </c>
      <c r="P175" s="3">
        <v>41873</v>
      </c>
      <c r="Q175" t="inlineStr">
        <is>
          <t>New Indication</t>
        </is>
      </c>
      <c r="R175" t="inlineStr">
        <is>
          <t>Not Requested</t>
        </is>
      </c>
      <c r="T175" s="3">
        <v>41918</v>
      </c>
      <c r="U175" s="3">
        <v>41963</v>
      </c>
      <c r="Y175" s="3">
        <v>42018</v>
      </c>
    </row>
    <row r="176">
      <c r="A176" s="2">
        <f>HYPERLINK("https://www.cadth.ca/zelboraf-advanced-melanoma-details", "Zelboraf")</f>
        <v>0</v>
      </c>
      <c r="B176" t="inlineStr">
        <is>
          <t>Vemurafenib</t>
        </is>
      </c>
      <c r="C176" t="inlineStr">
        <is>
          <t>Skin and Melanoma Advanced Melanoma</t>
        </is>
      </c>
      <c r="E176" t="inlineStr">
        <is>
          <t>Notification to Implement Issued</t>
        </is>
      </c>
      <c r="F176" s="3">
        <v>40883</v>
      </c>
      <c r="G176" s="3">
        <v>41061</v>
      </c>
      <c r="H176" t="inlineStr">
        <is>
          <t>pCODR 10006</t>
        </is>
      </c>
      <c r="I176" t="inlineStr">
        <is>
          <t>240 mg</t>
        </is>
      </c>
      <c r="J176" t="inlineStr">
        <is>
          <t>Skin and Melanoma</t>
        </is>
      </c>
      <c r="K176" t="inlineStr">
        <is>
          <t>Treatment of BRAF V600 mutation-positive unresectable or metastatic melanoma</t>
        </is>
      </c>
      <c r="L176" t="inlineStr">
        <is>
          <t>Yes</t>
        </is>
      </c>
      <c r="M176" s="3">
        <v>40954</v>
      </c>
      <c r="N176" t="inlineStr">
        <is>
          <t>Hoffmann-La Roche Limited</t>
        </is>
      </c>
      <c r="O176" t="inlineStr">
        <is>
          <t>Hoffmann-La Roche Limited</t>
        </is>
      </c>
      <c r="P176" s="3">
        <v>40886</v>
      </c>
      <c r="Q176" t="inlineStr">
        <is>
          <t>New Drug</t>
        </is>
      </c>
      <c r="R176" t="inlineStr">
        <is>
          <t>Not Requested</t>
        </is>
      </c>
      <c r="T176" s="3">
        <v>40938</v>
      </c>
      <c r="U176" s="3">
        <v>40983</v>
      </c>
      <c r="X176" s="3">
        <v>41046</v>
      </c>
      <c r="Y176" s="3">
        <v>41078</v>
      </c>
    </row>
    <row r="177">
      <c r="A177" s="2">
        <f>HYPERLINK("https://www.cadth.ca/cyramza-advanced-gc-or-gej-adenocarcinoma-details", "Cyramza")</f>
        <v>0</v>
      </c>
      <c r="B177" t="inlineStr">
        <is>
          <t>Ramucirumab</t>
        </is>
      </c>
      <c r="C177" t="inlineStr">
        <is>
          <t>Gastrointestinal Metastatic Gastric Cancer or Gastro-Esophageal Junction Adenocarcinoma</t>
        </is>
      </c>
      <c r="E177" t="inlineStr">
        <is>
          <t>Notification to Implement Issued</t>
        </is>
      </c>
      <c r="F177" s="3">
        <v>42109</v>
      </c>
      <c r="G177" s="3">
        <v>42306</v>
      </c>
      <c r="H177" t="inlineStr">
        <is>
          <t>pCODR 10059</t>
        </is>
      </c>
      <c r="I177" t="inlineStr">
        <is>
          <t>10 mg/mL</t>
        </is>
      </c>
      <c r="J177" t="inlineStr">
        <is>
          <t>Gastrointestinal</t>
        </is>
      </c>
      <c r="K177" t="inlineStr">
        <is>
          <t>As a single agent or in combination with paclitaxel for the treatment of patients with advanced or metastatic gastric cancer or gastro-esophageal junction adenocarcinoma after prior chemotherapy</t>
        </is>
      </c>
      <c r="L177" t="inlineStr">
        <is>
          <t>Yes</t>
        </is>
      </c>
      <c r="M177" s="3">
        <v>42201</v>
      </c>
      <c r="N177" t="inlineStr">
        <is>
          <t>Eli Lilly Canada Inc.</t>
        </is>
      </c>
      <c r="O177" t="inlineStr">
        <is>
          <t>Eli Lilly Canada Inc.</t>
        </is>
      </c>
      <c r="P177" s="3">
        <v>42116</v>
      </c>
      <c r="Q177" t="inlineStr">
        <is>
          <t>New Drug</t>
        </is>
      </c>
      <c r="R177" t="inlineStr">
        <is>
          <t>Not Requested</t>
        </is>
      </c>
      <c r="T177" s="3">
        <v>42160</v>
      </c>
      <c r="U177" s="3">
        <v>42236</v>
      </c>
      <c r="X177" s="3">
        <v>42292</v>
      </c>
      <c r="Y177" s="3">
        <v>42321</v>
      </c>
    </row>
    <row r="178">
      <c r="A178" s="2">
        <f>HYPERLINK("https://www.cadth.ca/iclusig-chronic-myeloid-leukemia-acute-lymphoblastic-leukemia-details", "Iclusig")</f>
        <v>0</v>
      </c>
      <c r="B178" t="inlineStr">
        <is>
          <t>Ponatinib</t>
        </is>
      </c>
      <c r="C178" t="inlineStr">
        <is>
          <t>Leukemia Chronic Myeloid Leukemia/ Acute Lymphoblastic Leukemia</t>
        </is>
      </c>
      <c r="E178" t="inlineStr">
        <is>
          <t>Notification to Implement Issued</t>
        </is>
      </c>
      <c r="F178" s="3">
        <v>42076</v>
      </c>
      <c r="G178" s="3">
        <v>42278</v>
      </c>
      <c r="H178" t="inlineStr">
        <is>
          <t>pCODR 10056</t>
        </is>
      </c>
      <c r="I178" t="inlineStr">
        <is>
          <t>15 mg and 45 mg tablets</t>
        </is>
      </c>
      <c r="J178" t="inlineStr">
        <is>
          <t>Leukemia</t>
        </is>
      </c>
      <c r="K178" t="inlineStr">
        <is>
          <t>For the treatment of adult patients with chronic phase, accelerated phase, or blast phase chronic myeloid leukemia (CML) or Philadelphia chromosome positive acute lymphoblastic leukemia (Ph+ ALL) for whom other tyrosine kinase inhibitor (TKI) therapy is not appropriate, including CML or Ph+ ALL that is T315I mutation positive or where there is prior TKI resistance or intolerance.</t>
        </is>
      </c>
      <c r="L178" t="inlineStr">
        <is>
          <t>Yes</t>
        </is>
      </c>
      <c r="M178" s="3">
        <v>42096</v>
      </c>
      <c r="N178" t="inlineStr">
        <is>
          <t>ARIAD Pharmaceuticals, Inc.</t>
        </is>
      </c>
      <c r="O178" t="inlineStr">
        <is>
          <t>ARIAD Pharmaceuticals, Inc.</t>
        </is>
      </c>
      <c r="P178" s="3">
        <v>42101</v>
      </c>
      <c r="Q178" t="inlineStr">
        <is>
          <t>New Drug</t>
        </is>
      </c>
      <c r="R178" t="inlineStr">
        <is>
          <t>Not Requested</t>
        </is>
      </c>
      <c r="T178" s="3">
        <v>42136</v>
      </c>
      <c r="U178" s="3">
        <v>42201</v>
      </c>
      <c r="X178" s="3">
        <v>42265</v>
      </c>
      <c r="Y178" s="3">
        <v>42296</v>
      </c>
      <c r="Z178" t="inlineStr">
        <is>
          <t>Due to the number of items for deliberation, the pERC meeting was conducted over two days. pERC held deliberations for reconsideration items, including ponatinib, on September 18, 2015.</t>
        </is>
      </c>
    </row>
    <row r="179">
      <c r="A179" s="2">
        <f>HYPERLINK("https://www.cadth.ca/zydelig-chronic-lymphocytic-leukemia-details", "Zydelig")</f>
        <v>0</v>
      </c>
      <c r="B179" t="inlineStr">
        <is>
          <t>Idelalisib</t>
        </is>
      </c>
      <c r="C179" t="inlineStr">
        <is>
          <t>Leukemia Chronic Lymphocytic Leukemia</t>
        </is>
      </c>
      <c r="E179" t="inlineStr">
        <is>
          <t>Notification to Implement Issued</t>
        </is>
      </c>
      <c r="F179" s="3">
        <v>42101</v>
      </c>
      <c r="G179" s="3">
        <v>42234</v>
      </c>
      <c r="H179" t="inlineStr">
        <is>
          <t>pCODR 10057</t>
        </is>
      </c>
      <c r="I179" t="inlineStr">
        <is>
          <t>100mg and 150mg tablets</t>
        </is>
      </c>
      <c r="J179" t="inlineStr">
        <is>
          <t>Leukemia</t>
        </is>
      </c>
      <c r="K179" t="inlineStr">
        <is>
          <t>In combination with rituximab for the treatment of patients with relapsed chronic lymphocytic leukemia (CLL)</t>
        </is>
      </c>
      <c r="L179" t="inlineStr">
        <is>
          <t>No</t>
        </is>
      </c>
      <c r="M179" s="3">
        <v>42090</v>
      </c>
      <c r="N179" t="inlineStr">
        <is>
          <t>Gilead Sciences, Inc.</t>
        </is>
      </c>
      <c r="O179" t="inlineStr">
        <is>
          <t>Gilead Sciences, Inc.</t>
        </is>
      </c>
      <c r="P179" s="3">
        <v>42108</v>
      </c>
      <c r="Q179" t="inlineStr">
        <is>
          <t>New Drug</t>
        </is>
      </c>
      <c r="R179" t="inlineStr">
        <is>
          <t>Not Requested</t>
        </is>
      </c>
      <c r="T179" s="3">
        <v>42152</v>
      </c>
      <c r="U179" s="3">
        <v>42201</v>
      </c>
      <c r="Y179" s="3">
        <v>42249</v>
      </c>
    </row>
    <row r="180">
      <c r="A180" s="2">
        <f>HYPERLINK("https://www.cadth.ca/revlimid-newly-diagnosed-mm-details", "Revlimid")</f>
        <v>0</v>
      </c>
      <c r="B180" t="inlineStr">
        <is>
          <t>Lenalidomide</t>
        </is>
      </c>
      <c r="C180" t="inlineStr">
        <is>
          <t>Myeloma Multiple Myeloma (newly diagnosed)</t>
        </is>
      </c>
      <c r="E180" t="inlineStr">
        <is>
          <t>Notification to Implement Issued</t>
        </is>
      </c>
      <c r="F180" s="3">
        <v>42128</v>
      </c>
      <c r="G180" s="3">
        <v>42341</v>
      </c>
      <c r="H180" t="inlineStr">
        <is>
          <t>pCODR 10061</t>
        </is>
      </c>
      <c r="I180" t="inlineStr">
        <is>
          <t>5, 10, 15, 25 mg capsules</t>
        </is>
      </c>
      <c r="J180" t="inlineStr">
        <is>
          <t>Myeloma</t>
        </is>
      </c>
      <c r="K180" t="inlineStr">
        <is>
          <t>In combination with low-dose dexamethasone, for treatment of newly diagnosed multiple myeloma patients who are not candidates for stem cell transplantation</t>
        </is>
      </c>
      <c r="L180" t="inlineStr">
        <is>
          <t>Yes</t>
        </is>
      </c>
      <c r="M180" s="3" t="inlineStr">
        <is>
          <t>N/A</t>
        </is>
      </c>
      <c r="N180" t="inlineStr">
        <is>
          <t>Celgene Inc.</t>
        </is>
      </c>
      <c r="O180" t="inlineStr">
        <is>
          <t>Celgene Inc.</t>
        </is>
      </c>
      <c r="P180" s="3">
        <v>42135</v>
      </c>
      <c r="Q180" t="inlineStr">
        <is>
          <t>New Indication</t>
        </is>
      </c>
      <c r="R180" t="inlineStr">
        <is>
          <t>Not Requested</t>
        </is>
      </c>
      <c r="T180" s="3">
        <v>42192</v>
      </c>
      <c r="U180" s="3">
        <v>42264</v>
      </c>
      <c r="X180" s="3">
        <v>42327</v>
      </c>
      <c r="Y180" s="3">
        <v>42356</v>
      </c>
    </row>
    <row r="181">
      <c r="A181" s="2">
        <f>HYPERLINK("https://www.cadth.ca/ibrance-advanced-breast-cancer-details", "Ibrance")</f>
        <v>0</v>
      </c>
      <c r="B181" t="inlineStr">
        <is>
          <t>Palbociclib</t>
        </is>
      </c>
      <c r="C181" t="inlineStr">
        <is>
          <t>Breast Advanced Breast Cancer</t>
        </is>
      </c>
      <c r="E181" t="inlineStr">
        <is>
          <t>Suspended</t>
        </is>
      </c>
      <c r="F181" s="3">
        <v>42319</v>
      </c>
      <c r="H181" t="inlineStr">
        <is>
          <t>pCODR 10068</t>
        </is>
      </c>
      <c r="I181" t="inlineStr">
        <is>
          <t>75mg, 100mg and 125mg Capsules</t>
        </is>
      </c>
      <c r="J181" t="inlineStr">
        <is>
          <t>Breast</t>
        </is>
      </c>
      <c r="K181" t="inlineStr">
        <is>
          <t>In combination with letrozole, for the treatment of postmenopausal women with estrogen receptor (ER)-positive, human epidermal growth factor receptor 2 (HER2)-negative advanced breast cancer as initial endocrine-based therapy for their metastatic  disease</t>
        </is>
      </c>
      <c r="L181" t="inlineStr">
        <is>
          <t>Yes</t>
        </is>
      </c>
      <c r="M181" s="3">
        <v>42445</v>
      </c>
      <c r="N181" t="inlineStr">
        <is>
          <t>Pfizer Canada Inc.</t>
        </is>
      </c>
      <c r="O181" t="inlineStr">
        <is>
          <t>Pfizer Canada Inc.</t>
        </is>
      </c>
      <c r="P181" s="3">
        <v>42326</v>
      </c>
      <c r="Q181" t="inlineStr">
        <is>
          <t>New Drug</t>
        </is>
      </c>
      <c r="R181" t="inlineStr">
        <is>
          <t>Not Requested</t>
        </is>
      </c>
      <c r="T181" s="3">
        <v>42381</v>
      </c>
      <c r="U181" s="3">
        <v>42481</v>
      </c>
      <c r="Z181" t="inlineStr">
        <is>
          <t>The Manufacturer had advised that Category 2 submission requirements for a pre-NOC submission were not available to complete the submission for a March pERC meeting date. An updated target date for the pERC meeting had been set by pCODR, based on the anticipated timing of the manufacturer being able to provide these outstanding submission requirements.</t>
        </is>
      </c>
    </row>
    <row r="182">
      <c r="A182" s="2">
        <f>HYPERLINK("https://www.cadth.ca/avastin-platinum-resistant-ovarian-cancer-details", "Avastin")</f>
        <v>0</v>
      </c>
      <c r="B182" t="inlineStr">
        <is>
          <t>Bevacizumab</t>
        </is>
      </c>
      <c r="C182" t="inlineStr">
        <is>
          <t>Gynecology  Platinum-Resistant Ovarian Cancer</t>
        </is>
      </c>
      <c r="E182" t="inlineStr">
        <is>
          <t>Notification to Implement Issued</t>
        </is>
      </c>
      <c r="F182" s="3">
        <v>42306</v>
      </c>
      <c r="G182" s="3">
        <v>42495</v>
      </c>
      <c r="H182" t="inlineStr">
        <is>
          <t>pCODR 10066</t>
        </is>
      </c>
      <c r="I182" t="inlineStr">
        <is>
          <t>25mg/mL</t>
        </is>
      </c>
      <c r="J182" t="inlineStr">
        <is>
          <t>Gynecology</t>
        </is>
      </c>
      <c r="K182" t="inlineStr">
        <is>
          <t>In combination with paclitaxel, pegylated liposomal doxorubicin, or topotecan, for the treatment of patients with platinum-resistant recurrent epithelial ovarian, fallopian tube, or primary peritoneal cancer</t>
        </is>
      </c>
      <c r="L182" t="inlineStr">
        <is>
          <t>No</t>
        </is>
      </c>
      <c r="M182" s="3">
        <v>42272</v>
      </c>
      <c r="N182" t="inlineStr">
        <is>
          <t>Hoffmann-La -Roche Limited</t>
        </is>
      </c>
      <c r="O182" t="inlineStr">
        <is>
          <t>Hoffmann-La -Roche Limited</t>
        </is>
      </c>
      <c r="P182" s="3">
        <v>42313</v>
      </c>
      <c r="Q182" t="inlineStr">
        <is>
          <t>New Indication</t>
        </is>
      </c>
      <c r="R182" t="inlineStr">
        <is>
          <t>Requested and Not Granted</t>
        </is>
      </c>
      <c r="T182" s="3">
        <v>42354</v>
      </c>
      <c r="U182" s="3">
        <v>42418</v>
      </c>
      <c r="X182" s="3">
        <v>42481</v>
      </c>
      <c r="Y182" s="3">
        <v>42510</v>
      </c>
    </row>
    <row r="183">
      <c r="A183" s="2">
        <f>HYPERLINK("https://www.cadth.ca/alecensaro-non-small-cell-lung-cancer-cns-metastases-details", "Alecensaro")</f>
        <v>0</v>
      </c>
      <c r="B183" t="inlineStr">
        <is>
          <t>Alectinib</t>
        </is>
      </c>
      <c r="C183" t="inlineStr">
        <is>
          <t>Lung Non-Small Cell Lung Cancer (with CNS metastases)</t>
        </is>
      </c>
      <c r="E183" t="inlineStr">
        <is>
          <t>Notification to Implement Issued</t>
        </is>
      </c>
      <c r="F183" s="3">
        <v>42646</v>
      </c>
      <c r="G183" s="3">
        <v>42859</v>
      </c>
      <c r="H183" t="inlineStr">
        <is>
          <t>pCODR 10092</t>
        </is>
      </c>
      <c r="I183" t="inlineStr">
        <is>
          <t>150 mg capsule</t>
        </is>
      </c>
      <c r="J183" t="inlineStr">
        <is>
          <t>Lung</t>
        </is>
      </c>
      <c r="K183" t="inlineStr">
        <is>
          <t>As monotherapy for the treatment of patients with anaplastic lymphoma kinase (ALK) positive, locally advanced or metastatic non-small cell lung cancer (NSCLC) who have progressed on or are intolerant to crizotinib and have CNS metastases</t>
        </is>
      </c>
      <c r="L183" t="inlineStr">
        <is>
          <t>No</t>
        </is>
      </c>
      <c r="M183" s="3">
        <v>42642</v>
      </c>
      <c r="N183" t="inlineStr">
        <is>
          <t>Hoffmann-La Roche Limited</t>
        </is>
      </c>
      <c r="O183" t="inlineStr">
        <is>
          <t>Hoffmann-La Roche Limited</t>
        </is>
      </c>
      <c r="P183" s="3">
        <v>42654</v>
      </c>
      <c r="Q183" t="inlineStr">
        <is>
          <t>New Drug</t>
        </is>
      </c>
      <c r="R183" t="inlineStr">
        <is>
          <t>Requested and Granted</t>
        </is>
      </c>
      <c r="T183" s="3">
        <v>42704</v>
      </c>
      <c r="U183" s="3">
        <v>42782</v>
      </c>
      <c r="X183" s="3">
        <v>42845</v>
      </c>
      <c r="Y183" s="3">
        <v>42874</v>
      </c>
    </row>
    <row r="184">
      <c r="A184" s="2">
        <f>HYPERLINK("https://www.cadth.ca/onivyde-metastatic-pancreatic-cancer-details", "Onivyde")</f>
        <v>0</v>
      </c>
      <c r="B184" t="inlineStr">
        <is>
          <t>Irinotecan Liposome</t>
        </is>
      </c>
      <c r="C184" t="inlineStr">
        <is>
          <t>Gastrointestinal Metastatic Pancreatic Cancer</t>
        </is>
      </c>
      <c r="E184" t="inlineStr">
        <is>
          <t>Notification to Implement Issued</t>
        </is>
      </c>
      <c r="F184" s="3">
        <v>42852</v>
      </c>
      <c r="G184" s="3">
        <v>43105</v>
      </c>
      <c r="H184" t="inlineStr">
        <is>
          <t>pCODR 10107</t>
        </is>
      </c>
      <c r="I184" t="inlineStr">
        <is>
          <t>4.3 mg/mL</t>
        </is>
      </c>
      <c r="J184" t="inlineStr">
        <is>
          <t>Gastrointestinal</t>
        </is>
      </c>
      <c r="K184" t="inlineStr">
        <is>
          <t>For the treatment of metastatic adenocarcinoma of the pancreas in combination with 5-fluorouracil (5-FU) and leucovorin (LV) in adult patients who have been previously treated with gemcitabine-based therapy</t>
        </is>
      </c>
      <c r="L184" t="inlineStr">
        <is>
          <t>Yes</t>
        </is>
      </c>
      <c r="M184" s="3">
        <v>42956</v>
      </c>
      <c r="N184" t="inlineStr">
        <is>
          <t>Shire Canada</t>
        </is>
      </c>
      <c r="O184" t="inlineStr">
        <is>
          <t>Shire Canada</t>
        </is>
      </c>
      <c r="P184" s="3">
        <v>42859</v>
      </c>
      <c r="Q184" t="inlineStr">
        <is>
          <t>New Drug</t>
        </is>
      </c>
      <c r="R184" t="inlineStr">
        <is>
          <t>Requested and Not Granted</t>
        </is>
      </c>
      <c r="T184" s="3">
        <v>42928</v>
      </c>
      <c r="U184" s="3">
        <v>43027</v>
      </c>
      <c r="X184" s="3">
        <v>43083</v>
      </c>
      <c r="Y184" s="3">
        <v>43122</v>
      </c>
      <c r="Z184" t="inlineStr">
        <is>
          <t>As per Section 4.1.1 subsection a) of the pCODR Procedures, the timeline of the review was temporarily stopped pending rescheduling of the Checkpoint Meeting, as per the request of Shire Canada Inc.</t>
        </is>
      </c>
    </row>
    <row r="185">
      <c r="A185" s="2">
        <f>HYPERLINK("https://www.cadth.ca/avastin-malignant-pleural-mesothelioma-details", "Avastin")</f>
        <v>0</v>
      </c>
      <c r="B185" t="inlineStr">
        <is>
          <t>Bevacizumab</t>
        </is>
      </c>
      <c r="C185" t="inlineStr">
        <is>
          <t>Lung Malignant Pleural Mesothelioma</t>
        </is>
      </c>
      <c r="E185" t="inlineStr">
        <is>
          <t>Withdrawn</t>
        </is>
      </c>
      <c r="F185" s="3">
        <v>42720</v>
      </c>
      <c r="H185" t="inlineStr">
        <is>
          <t>pCODR 10100</t>
        </is>
      </c>
      <c r="I185" t="inlineStr">
        <is>
          <t>100 mg and 400 mg vials</t>
        </is>
      </c>
      <c r="J185" t="inlineStr">
        <is>
          <t>Lung</t>
        </is>
      </c>
      <c r="K185" t="inlineStr">
        <is>
          <t>In combination with pemetrexed and cisplatin or carboplatin (for cisplatin ineligible patients), for first-line treatment in patients with unresectable malignant pleural mesothelioma</t>
        </is>
      </c>
      <c r="L185" t="inlineStr">
        <is>
          <t>Yes</t>
        </is>
      </c>
      <c r="M185" s="3" t="inlineStr">
        <is>
          <t>N/A</t>
        </is>
      </c>
      <c r="N185" t="inlineStr">
        <is>
          <t>Hoffmann-La Roche Limited</t>
        </is>
      </c>
      <c r="O185" t="inlineStr">
        <is>
          <t>Hoffmann-La Roche Limited</t>
        </is>
      </c>
      <c r="P185" s="3">
        <v>42727</v>
      </c>
      <c r="Q185" t="inlineStr">
        <is>
          <t>New Indication</t>
        </is>
      </c>
      <c r="R185" t="inlineStr">
        <is>
          <t>Requested and Not Granted</t>
        </is>
      </c>
      <c r="T185" s="3">
        <v>42793</v>
      </c>
      <c r="Z185" t="inlineStr">
        <is>
          <t>Hoffmann-La Roche Limited requested a voluntary withdrawal of the pCODR 10100 Bevacizumab (Avastin) MPM Submission.  As per pCODR Procedures B3.1.6.2 b), the pCODR Provincial Advisory Group has agreed to the request to withdraw and decided to not continue the review as a PAG Submission.</t>
        </is>
      </c>
    </row>
    <row r="186">
      <c r="A186" s="2">
        <f>HYPERLINK("https://www.cadth.ca/cabozantinib-advanced-renal-cell-carcinoma-details", "TBD")</f>
        <v>0</v>
      </c>
      <c r="B186" t="inlineStr">
        <is>
          <t>Cabozantinib</t>
        </is>
      </c>
      <c r="C186" t="inlineStr">
        <is>
          <t>Genitourinary Renal Cell Carcinoma (RCC)</t>
        </is>
      </c>
      <c r="E186" t="inlineStr">
        <is>
          <t>Withdrawn</t>
        </is>
      </c>
      <c r="F186" s="3">
        <v>43014</v>
      </c>
      <c r="H186" t="inlineStr">
        <is>
          <t>pCODR 10123</t>
        </is>
      </c>
      <c r="J186" t="inlineStr">
        <is>
          <t>Genitourinary</t>
        </is>
      </c>
      <c r="K186" t="inlineStr">
        <is>
          <t>For the treatment of patients with advanced renal cell carcinoma (RCC) who have received prior therapy</t>
        </is>
      </c>
      <c r="L186" t="inlineStr">
        <is>
          <t>Yes</t>
        </is>
      </c>
      <c r="N186" t="inlineStr">
        <is>
          <t>Ipsen Biopharmaceuticals Canada Inc.</t>
        </is>
      </c>
      <c r="O186" t="inlineStr">
        <is>
          <t>Ipsen Biopharmaceuticals Canada Inc.</t>
        </is>
      </c>
      <c r="P186" s="3">
        <v>43024</v>
      </c>
      <c r="Q186" t="inlineStr">
        <is>
          <t>New Drug</t>
        </is>
      </c>
      <c r="R186" t="inlineStr">
        <is>
          <t>Requested and Granted</t>
        </is>
      </c>
      <c r="T186" s="3">
        <v>43066</v>
      </c>
      <c r="Z186" t="inlineStr">
        <is>
          <t>Ipsen Biopharmaceuticals Canada Inc. has notified pCODR that the Category 2 submission requirements for the pre NOC submission of Cabozantinib (Cabometyx) RCC cannot be met at this time. As per pCODR Procedures C3.1.6, the pCODR program has stopped the review.</t>
        </is>
      </c>
    </row>
    <row r="187">
      <c r="A187" s="2">
        <f>HYPERLINK("https://www.cadth.ca/besponsa-acute-lymphoblastic-leukemia-details", "Besponsa")</f>
        <v>0</v>
      </c>
      <c r="B187" t="inlineStr">
        <is>
          <t>Inotuzumab Ozogamicin</t>
        </is>
      </c>
      <c r="C187" t="inlineStr">
        <is>
          <t>Leukemia  Acute Lymphoblastic Leukemia (ALL)</t>
        </is>
      </c>
      <c r="E187" t="inlineStr">
        <is>
          <t>Notification to Implement Issued</t>
        </is>
      </c>
      <c r="F187" s="3">
        <v>43052</v>
      </c>
      <c r="G187" s="3">
        <v>43287</v>
      </c>
      <c r="H187" t="inlineStr">
        <is>
          <t>pCODR 10121</t>
        </is>
      </c>
      <c r="I187" t="inlineStr">
        <is>
          <t>0.9 mg/vial</t>
        </is>
      </c>
      <c r="J187" t="inlineStr">
        <is>
          <t>Leukemia</t>
        </is>
      </c>
      <c r="K187" t="inlineStr">
        <is>
          <t>For the treatment of relapsed or refractory B-cell precursor acute lymphoblastic leukemia (ALL)</t>
        </is>
      </c>
      <c r="L187" t="inlineStr">
        <is>
          <t>Yes</t>
        </is>
      </c>
      <c r="M187" s="3">
        <v>43174</v>
      </c>
      <c r="N187" t="inlineStr">
        <is>
          <t>Pfizer Canada Inc.</t>
        </is>
      </c>
      <c r="O187" t="inlineStr">
        <is>
          <t>Pfizer Canada Inc.</t>
        </is>
      </c>
      <c r="P187" s="3">
        <v>43059</v>
      </c>
      <c r="Q187" t="inlineStr">
        <is>
          <t>New Drug</t>
        </is>
      </c>
      <c r="R187" t="inlineStr">
        <is>
          <t>Not Requested</t>
        </is>
      </c>
      <c r="T187" s="3">
        <v>43125</v>
      </c>
      <c r="U187" s="3">
        <v>43209</v>
      </c>
      <c r="X187" s="3">
        <v>43272</v>
      </c>
      <c r="Y187" s="3">
        <v>43304</v>
      </c>
    </row>
    <row r="188">
      <c r="A188" s="2">
        <f>HYPERLINK("https://www.cadth.ca/blincyto-acute-lymphoblastic-leukemia-resubmission-details", "Blincyto (Resubmission)")</f>
        <v>0</v>
      </c>
      <c r="B188" t="inlineStr">
        <is>
          <t>Blinatumomab</t>
        </is>
      </c>
      <c r="C188" t="inlineStr">
        <is>
          <t>Leukemia Adult Acute Lymphoblastic Leukemia (ALL)</t>
        </is>
      </c>
      <c r="E188" t="inlineStr">
        <is>
          <t>Notification to Implement Issued</t>
        </is>
      </c>
      <c r="F188" s="3">
        <v>42790</v>
      </c>
      <c r="G188" s="3">
        <v>42978</v>
      </c>
      <c r="H188" t="inlineStr">
        <is>
          <t>pCODR 10097</t>
        </is>
      </c>
      <c r="I188" t="inlineStr">
        <is>
          <t>38.5mcg vial</t>
        </is>
      </c>
      <c r="J188" t="inlineStr">
        <is>
          <t>Leukemia</t>
        </is>
      </c>
      <c r="K188" t="inlineStr">
        <is>
          <t>For the treatment of all adult patients with Philadelphia chromosome-negative relapsed or refractory B-precursor acute lymphoblastic leukemia (ALL), including those who have had one prior line of therapy (i.e., adult patients who are refractory or patients who are in first or later relapse)</t>
        </is>
      </c>
      <c r="L188" t="inlineStr">
        <is>
          <t>No</t>
        </is>
      </c>
      <c r="M188" s="3">
        <v>42360</v>
      </c>
      <c r="N188" t="inlineStr">
        <is>
          <t>Amgen Canada Inc.</t>
        </is>
      </c>
      <c r="O188" t="inlineStr">
        <is>
          <t>Amgen Canada Inc.</t>
        </is>
      </c>
      <c r="P188" s="3">
        <v>42804</v>
      </c>
      <c r="Q188" t="inlineStr">
        <is>
          <t>Resubmission</t>
        </is>
      </c>
      <c r="R188" t="inlineStr">
        <is>
          <t>Requested and Not Granted</t>
        </is>
      </c>
      <c r="T188" s="3">
        <v>42844</v>
      </c>
      <c r="U188" s="3">
        <v>42901</v>
      </c>
      <c r="X188" s="3">
        <v>42965</v>
      </c>
      <c r="Y188" s="3">
        <v>42996</v>
      </c>
    </row>
    <row r="189">
      <c r="A189" s="2">
        <f>HYPERLINK("https://www.cadth.ca/rituxan-acute-lymphoblastic-leukemia-details", "Rituxan")</f>
        <v>0</v>
      </c>
      <c r="B189" t="inlineStr">
        <is>
          <t>Rituximab</t>
        </is>
      </c>
      <c r="C189" t="inlineStr">
        <is>
          <t>Leukemia Acute Lymphoblastic Leukemia</t>
        </is>
      </c>
      <c r="E189" t="inlineStr">
        <is>
          <t>Notification to Implement Issued</t>
        </is>
      </c>
      <c r="F189" s="3">
        <v>42779</v>
      </c>
      <c r="G189" s="3">
        <v>42978</v>
      </c>
      <c r="H189" t="inlineStr">
        <is>
          <t>pCODR 10102</t>
        </is>
      </c>
      <c r="I189" t="inlineStr">
        <is>
          <t>200mg and 500mg vials</t>
        </is>
      </c>
      <c r="J189" t="inlineStr">
        <is>
          <t>Leukemia</t>
        </is>
      </c>
      <c r="K189" t="inlineStr">
        <is>
          <t>In combination with standard of care chemotherapy for Philadelphia chromosome negative, CD20 antigen positive, B-cell precursor acute lymphoblastic leukemia in adults</t>
        </is>
      </c>
      <c r="L189" t="inlineStr">
        <is>
          <t>Yes</t>
        </is>
      </c>
      <c r="M189" s="3" t="inlineStr">
        <is>
          <t>N/A</t>
        </is>
      </c>
      <c r="N189" t="inlineStr">
        <is>
          <t>Hoffmann-La Roche Limited</t>
        </is>
      </c>
      <c r="O189" t="inlineStr">
        <is>
          <t>Cancer Care Manitoba</t>
        </is>
      </c>
      <c r="P189" s="3">
        <v>42787</v>
      </c>
      <c r="Q189" t="inlineStr">
        <is>
          <t>New Drug</t>
        </is>
      </c>
      <c r="R189" t="inlineStr">
        <is>
          <t>Not Requested</t>
        </is>
      </c>
      <c r="T189" s="3">
        <v>42837</v>
      </c>
      <c r="U189" s="3">
        <v>42901</v>
      </c>
      <c r="X189" s="3">
        <v>42964</v>
      </c>
      <c r="Y189" s="3">
        <v>42996</v>
      </c>
    </row>
    <row r="190">
      <c r="A190" s="2">
        <f>HYPERLINK("https://www.cadth.ca/keytruda-advanced-non-small-cell-lung-carcinoma-first-line-details", "Keytruda")</f>
        <v>0</v>
      </c>
      <c r="B190" t="inlineStr">
        <is>
          <t>Pembrolizumab</t>
        </is>
      </c>
      <c r="C190" t="inlineStr">
        <is>
          <t>Lung Non-Small Cell Lung Carcinoma (First Line)</t>
        </is>
      </c>
      <c r="E190" t="inlineStr">
        <is>
          <t>Notification to Implement Issued</t>
        </is>
      </c>
      <c r="F190" s="3">
        <v>42716</v>
      </c>
      <c r="G190" s="3">
        <v>42970</v>
      </c>
      <c r="H190" t="inlineStr">
        <is>
          <t>pCODR 10101</t>
        </is>
      </c>
      <c r="I190" t="inlineStr">
        <is>
          <t>50mg vial</t>
        </is>
      </c>
      <c r="J190" t="inlineStr">
        <is>
          <t>Lung</t>
        </is>
      </c>
      <c r="K190" t="inlineStr">
        <is>
          <t>For previously untreated patients with metastatic NSCLC whose tumours express PD-L1 and who do not harbor a sensitizing EGFR mutation or ALK translocation. Funding is being requested for patients with a TPS (Tumour Proportion Score) of PD-L1 ≥50%.</t>
        </is>
      </c>
      <c r="L190" t="inlineStr">
        <is>
          <t>Yes</t>
        </is>
      </c>
      <c r="M190" s="3">
        <v>42928</v>
      </c>
      <c r="N190" t="inlineStr">
        <is>
          <t>Merck Canada Inc.</t>
        </is>
      </c>
      <c r="O190" t="inlineStr">
        <is>
          <t>Merck Canada Inc.</t>
        </is>
      </c>
      <c r="P190" s="3">
        <v>42723</v>
      </c>
      <c r="Q190" t="inlineStr">
        <is>
          <t>New Indication</t>
        </is>
      </c>
      <c r="R190" t="inlineStr">
        <is>
          <t>Requested and Not Granted</t>
        </is>
      </c>
      <c r="T190" s="3">
        <v>42781</v>
      </c>
      <c r="U190" s="3">
        <v>42936</v>
      </c>
      <c r="Y190" s="3">
        <v>42986</v>
      </c>
      <c r="Z190" t="inlineStr">
        <is>
          <t>The Manufacturer has advised that Category 2 submission requirements for a pre-NOC submission will not be available to complete the submission for a June pERC meeting date. An updated target date for the pERC meeting has been set by pCODR, based on the anticipated timing of the manufacturer being able to provide these outstanding submission requirements.</t>
        </is>
      </c>
    </row>
    <row r="191">
      <c r="A191" s="2">
        <f>HYPERLINK("https://www.cadth.ca/lynparza-ovarian-cancer-2nd-line-details", "Lynparza")</f>
        <v>0</v>
      </c>
      <c r="B191" t="inlineStr">
        <is>
          <t>Olaparib</t>
        </is>
      </c>
      <c r="C191" t="inlineStr">
        <is>
          <t>Gynecology  Ovarian Cancer</t>
        </is>
      </c>
      <c r="E191" t="inlineStr">
        <is>
          <t>Notification to Implement Issued</t>
        </is>
      </c>
      <c r="F191" s="3">
        <v>42461</v>
      </c>
      <c r="G191" s="3">
        <v>42642</v>
      </c>
      <c r="H191" t="inlineStr">
        <is>
          <t>pCODR 10081</t>
        </is>
      </c>
      <c r="I191" t="inlineStr">
        <is>
          <t>50mg Capsule</t>
        </is>
      </c>
      <c r="J191" t="inlineStr">
        <is>
          <t>Gynecology</t>
        </is>
      </c>
      <c r="K191" t="inlineStr">
        <is>
          <t>As monotherapy maintenance treatment of adult patients with platinum-sensitive relapsed BRCA-mutated epithelial ovarian, fallopian tube or primary peritoneal cancer who are in response to platinum-based chemotherapy</t>
        </is>
      </c>
      <c r="L191" t="inlineStr">
        <is>
          <t>Yes</t>
        </is>
      </c>
      <c r="M191" s="3">
        <v>42489</v>
      </c>
      <c r="N191" t="inlineStr">
        <is>
          <t>Astra Zeneca Canada Inc</t>
        </is>
      </c>
      <c r="O191" t="inlineStr">
        <is>
          <t>Astra Zeneca Canada Inc</t>
        </is>
      </c>
      <c r="P191" s="3">
        <v>42468</v>
      </c>
      <c r="Q191" t="inlineStr">
        <is>
          <t>New Drug</t>
        </is>
      </c>
      <c r="R191" t="inlineStr">
        <is>
          <t>Requested and Granted</t>
        </is>
      </c>
      <c r="T191" s="3">
        <v>42508</v>
      </c>
      <c r="U191" s="3">
        <v>42572</v>
      </c>
      <c r="X191" s="3">
        <v>42628</v>
      </c>
      <c r="Y191" s="3">
        <v>42660</v>
      </c>
    </row>
    <row r="192">
      <c r="A192" s="2">
        <f>HYPERLINK("https://www.cadth.ca/cyramza-non-small-cell-lung-cancer-details", "Cyramza")</f>
        <v>0</v>
      </c>
      <c r="B192" t="inlineStr">
        <is>
          <t>Ramucirumab</t>
        </is>
      </c>
      <c r="C192" t="inlineStr">
        <is>
          <t>Lung Non-Small Cell Lung Cancer</t>
        </is>
      </c>
      <c r="E192" t="inlineStr">
        <is>
          <t>File-Closed Not Submitted</t>
        </is>
      </c>
      <c r="H192" t="inlineStr">
        <is>
          <t>pCODR 10078</t>
        </is>
      </c>
      <c r="J192" t="inlineStr">
        <is>
          <t>Lung</t>
        </is>
      </c>
      <c r="K192" t="inlineStr">
        <is>
          <t>For the treatment of patients with advanced or metastatic non-small cell lung cancer who progressed on or after platinum-based chemotherapy in combination with docetaxel</t>
        </is>
      </c>
      <c r="L192" t="inlineStr">
        <is>
          <t>Yes</t>
        </is>
      </c>
      <c r="N192" t="inlineStr">
        <is>
          <t>Eli Lilly Canada Inc.</t>
        </is>
      </c>
      <c r="O192" t="inlineStr">
        <is>
          <t>Eli Lilly Canada Inc.</t>
        </is>
      </c>
      <c r="Q192" t="inlineStr">
        <is>
          <t>New Indication</t>
        </is>
      </c>
      <c r="Z192" t="inlineStr">
        <is>
          <t>The submitter notified pCODR that they will not be filing the submission.</t>
        </is>
      </c>
    </row>
    <row r="193">
      <c r="A193" s="2">
        <f>HYPERLINK("https://www.cadth.ca/keytruda-non-small-cell-lung-cancer-second-line-or-beyond-details", "Keytruda")</f>
        <v>0</v>
      </c>
      <c r="B193" t="inlineStr">
        <is>
          <t>Pembrolizumab</t>
        </is>
      </c>
      <c r="C193" t="inlineStr">
        <is>
          <t>Lung Non-Small Cell Lung Cancer (Second Line or Beyond)</t>
        </is>
      </c>
      <c r="E193" t="inlineStr">
        <is>
          <t>Notification to Implement Issued</t>
        </is>
      </c>
      <c r="F193" s="3">
        <v>42481</v>
      </c>
      <c r="G193" s="3">
        <v>42677</v>
      </c>
      <c r="H193" t="inlineStr">
        <is>
          <t>pCODR 10077</t>
        </is>
      </c>
      <c r="I193" t="inlineStr">
        <is>
          <t>50mg vial</t>
        </is>
      </c>
      <c r="J193" t="inlineStr">
        <is>
          <t>Lung</t>
        </is>
      </c>
      <c r="K193" t="inlineStr">
        <is>
          <t>For the treatment of patients with metastatic NSCLC whose tumours express PD-L1 (as determined by a validated test) and who have disease progression on or after platinum-containing chemotherapy. Funding is being requested for patients with a TPS (Tumour Proportion Score) of PD-L1 ≥1%.</t>
        </is>
      </c>
      <c r="L193" t="inlineStr">
        <is>
          <t>No</t>
        </is>
      </c>
      <c r="M193" s="3">
        <v>42475</v>
      </c>
      <c r="N193" t="inlineStr">
        <is>
          <t>Merck Canada Inc.</t>
        </is>
      </c>
      <c r="O193" t="inlineStr">
        <is>
          <t>Merck Canada Inc.</t>
        </is>
      </c>
      <c r="P193" s="3">
        <v>42488</v>
      </c>
      <c r="Q193" t="inlineStr">
        <is>
          <t>New Indication</t>
        </is>
      </c>
      <c r="R193" t="inlineStr">
        <is>
          <t>Requested and Granted</t>
        </is>
      </c>
      <c r="T193" s="3">
        <v>42530</v>
      </c>
      <c r="U193" s="3">
        <v>42600</v>
      </c>
      <c r="X193" s="3">
        <v>42663</v>
      </c>
      <c r="Y193" s="3">
        <v>42692</v>
      </c>
    </row>
    <row r="194">
      <c r="A194" s="2">
        <f>HYPERLINK("https://www.cadth.ca/venclexta-chronic-lymphocytic-leukemia-details", "Venclexta")</f>
        <v>0</v>
      </c>
      <c r="B194" t="inlineStr">
        <is>
          <t>Venetoclax</t>
        </is>
      </c>
      <c r="C194" t="inlineStr">
        <is>
          <t>Leukemia Chronic Lymphocytic Leukemia</t>
        </is>
      </c>
      <c r="E194" t="inlineStr">
        <is>
          <t>Notification to Implement Issued</t>
        </is>
      </c>
      <c r="F194" s="3">
        <v>42926</v>
      </c>
      <c r="G194" s="3">
        <v>43161</v>
      </c>
      <c r="H194" t="inlineStr">
        <is>
          <t>pCODR 10105</t>
        </is>
      </c>
      <c r="I194" t="inlineStr">
        <is>
          <t>10mg, 50 mg &amp; 100mg tablet</t>
        </is>
      </c>
      <c r="J194" t="inlineStr">
        <is>
          <t>Leukemia</t>
        </is>
      </c>
      <c r="K194" t="inlineStr">
        <is>
          <t>As monotherapy for the treatment of patients with chronic lymphocytic leukemia (CLL) who have received at least one prior therapy and who have failed a B-Cell Receptor Inhibitor (BCRi)</t>
        </is>
      </c>
      <c r="L194" t="inlineStr">
        <is>
          <t>No</t>
        </is>
      </c>
      <c r="M194" s="3">
        <v>42643</v>
      </c>
      <c r="N194" t="inlineStr">
        <is>
          <t>AbbVie Corporation</t>
        </is>
      </c>
      <c r="O194" t="inlineStr">
        <is>
          <t>AbbVie Corporation</t>
        </is>
      </c>
      <c r="P194" s="3">
        <v>42933</v>
      </c>
      <c r="Q194" t="inlineStr">
        <is>
          <t>New Indication</t>
        </is>
      </c>
      <c r="R194" t="inlineStr">
        <is>
          <t>Requested and Granted</t>
        </is>
      </c>
      <c r="T194" s="3">
        <v>42985</v>
      </c>
      <c r="U194" s="3">
        <v>43055</v>
      </c>
      <c r="X194" s="3">
        <v>43146</v>
      </c>
      <c r="Y194" s="3">
        <v>43178</v>
      </c>
    </row>
    <row r="195">
      <c r="A195" s="2">
        <f>HYPERLINK("https://www.cadth.ca/adcetris-hodgkins-lymphoma-post-asct-resubmission-details", "Adcetris")</f>
        <v>0</v>
      </c>
      <c r="B195" t="inlineStr">
        <is>
          <t>Brentuximab Vedotin</t>
        </is>
      </c>
      <c r="C195" t="inlineStr">
        <is>
          <t>Lymphoma Hodgkin’s Lymphoma at high risk of relapse or progression post-ASCT</t>
        </is>
      </c>
      <c r="E195" t="inlineStr">
        <is>
          <t>Notification to Implement Issued</t>
        </is>
      </c>
      <c r="F195" s="3">
        <v>42957</v>
      </c>
      <c r="G195" s="3">
        <v>43152</v>
      </c>
      <c r="H195" t="inlineStr">
        <is>
          <t>pCODR 10116</t>
        </is>
      </c>
      <c r="I195" t="inlineStr">
        <is>
          <t>50 mg</t>
        </is>
      </c>
      <c r="J195" t="inlineStr">
        <is>
          <t>Lymphoma</t>
        </is>
      </c>
      <c r="K195" t="inlineStr">
        <is>
          <t>Funding for ADCETRIS is requested for post-ASCT consolidation treatment of patients with HL at increased risk* of relapse or progression. *The definition of high risk of post-ASCT relapse or progression based on the AETHERA trial are: refractory to frontline therapy, relapsed &lt;12 months following frontline therapy, or relapsed &gt;12 months with extranodal involvement.</t>
        </is>
      </c>
      <c r="L195" t="inlineStr">
        <is>
          <t>No</t>
        </is>
      </c>
      <c r="M195" s="3">
        <v>42936</v>
      </c>
      <c r="N195" t="inlineStr">
        <is>
          <t>Seattle Genetics, Inc.</t>
        </is>
      </c>
      <c r="O195" t="inlineStr">
        <is>
          <t>Seattle Genetics, Inc.</t>
        </is>
      </c>
      <c r="P195" s="3">
        <v>42971</v>
      </c>
      <c r="Q195" t="inlineStr">
        <is>
          <t>Resubmission</t>
        </is>
      </c>
      <c r="R195" t="inlineStr">
        <is>
          <t>Requested and Granted</t>
        </is>
      </c>
      <c r="T195" s="3">
        <v>43010</v>
      </c>
      <c r="U195" s="3">
        <v>43118</v>
      </c>
      <c r="Y195" s="3">
        <v>43167</v>
      </c>
    </row>
    <row r="196">
      <c r="A196" s="2">
        <f>HYPERLINK("https://www.cadth.ca/faslodex-locally-advanced-or-metastatic-breast-cancer-details", "Faslodex")</f>
        <v>0</v>
      </c>
      <c r="B196" t="inlineStr">
        <is>
          <t>Fulvestrant</t>
        </is>
      </c>
      <c r="C196" t="inlineStr">
        <is>
          <t>Breast Locally Advanced or Metastatic Breast Cancer</t>
        </is>
      </c>
      <c r="E196" t="inlineStr">
        <is>
          <t>Notification to Implement Issued</t>
        </is>
      </c>
      <c r="F196" s="3">
        <v>42933</v>
      </c>
      <c r="G196" s="3">
        <v>43132</v>
      </c>
      <c r="H196" t="inlineStr">
        <is>
          <t>pCODR 10110</t>
        </is>
      </c>
      <c r="I196" t="inlineStr">
        <is>
          <t>50 mg/mL</t>
        </is>
      </c>
      <c r="J196" t="inlineStr">
        <is>
          <t>Breast</t>
        </is>
      </c>
      <c r="K196" t="inlineStr">
        <is>
          <t>For hormonal treatment of non-visceral locally advanced or metastatic HER2- breast cancer in postmenopausal women, regardless of age, who have not been previously treated with endocrine therapy</t>
        </is>
      </c>
      <c r="L196" t="inlineStr">
        <is>
          <t>Yes</t>
        </is>
      </c>
      <c r="M196" s="3">
        <v>43047</v>
      </c>
      <c r="N196" t="inlineStr">
        <is>
          <t>AstraZeneca Canada Inc.</t>
        </is>
      </c>
      <c r="O196" t="inlineStr">
        <is>
          <t>AstraZeneca Canada Inc.</t>
        </is>
      </c>
      <c r="P196" s="3">
        <v>42940</v>
      </c>
      <c r="Q196" t="inlineStr">
        <is>
          <t>New Drug</t>
        </is>
      </c>
      <c r="R196" t="inlineStr">
        <is>
          <t>Not Requested</t>
        </is>
      </c>
      <c r="T196" s="3">
        <v>42996</v>
      </c>
      <c r="U196" s="3">
        <v>43055</v>
      </c>
      <c r="X196" s="3">
        <v>43118</v>
      </c>
      <c r="Y196" s="3">
        <v>43147</v>
      </c>
    </row>
    <row r="197">
      <c r="A197" s="2">
        <f>HYPERLINK("https://www.cadth.ca/tagrisso-non-small-cell-lung-cancer-first-line-details", "Tagrisso")</f>
        <v>0</v>
      </c>
      <c r="B197" t="inlineStr">
        <is>
          <t>Osimertinib</t>
        </is>
      </c>
      <c r="C197" t="inlineStr">
        <is>
          <t>Lung Non-Small Cell Lung Cancer (first line)</t>
        </is>
      </c>
      <c r="E197" t="inlineStr">
        <is>
          <t>Notification to Implement Issued</t>
        </is>
      </c>
      <c r="F197" s="3">
        <v>43236</v>
      </c>
      <c r="G197" s="3">
        <v>43469</v>
      </c>
      <c r="H197" t="inlineStr">
        <is>
          <t>pCODR 10137</t>
        </is>
      </c>
      <c r="I197" t="inlineStr">
        <is>
          <t>40 mg and 80 mg</t>
        </is>
      </c>
      <c r="J197" t="inlineStr">
        <is>
          <t>Lung</t>
        </is>
      </c>
      <c r="K197" t="inlineStr">
        <is>
          <t>For the first-line treatment of patients with locally advanced or metastatic non-small cell lung cancer (NSCLC) whose tumours have epidermal growth factor receptor (EGFR) mutations</t>
        </is>
      </c>
      <c r="L197" t="inlineStr">
        <is>
          <t>Yes</t>
        </is>
      </c>
      <c r="M197" s="3">
        <v>43291</v>
      </c>
      <c r="N197" t="inlineStr">
        <is>
          <t>AstraZeneca Canada Inc.</t>
        </is>
      </c>
      <c r="O197" t="inlineStr">
        <is>
          <t>AstraZeneca Canada Inc.</t>
        </is>
      </c>
      <c r="P197" s="3">
        <v>43244</v>
      </c>
      <c r="Q197" t="inlineStr">
        <is>
          <t>New Indication</t>
        </is>
      </c>
      <c r="R197" t="inlineStr">
        <is>
          <t>Requested and Not Granted</t>
        </is>
      </c>
      <c r="T197" s="3">
        <v>43299</v>
      </c>
      <c r="U197" s="3">
        <v>43391</v>
      </c>
      <c r="X197" s="3">
        <v>43447</v>
      </c>
      <c r="Y197" s="3">
        <v>43486</v>
      </c>
    </row>
    <row r="198">
      <c r="A198" s="2">
        <f>HYPERLINK("https://www.cadth.ca/adcetris-hodgkin-lymphoma-resubmission-details", "Adcetris (Resubmission)")</f>
        <v>0</v>
      </c>
      <c r="B198" t="inlineStr">
        <is>
          <t>Brentuximab Vedotin</t>
        </is>
      </c>
      <c r="C198" t="inlineStr">
        <is>
          <t>Lymphoma  Hodgkin Lymphoma</t>
        </is>
      </c>
      <c r="E198" t="inlineStr">
        <is>
          <t>Notification to Implement Issued</t>
        </is>
      </c>
      <c r="F198" s="3">
        <v>43339</v>
      </c>
      <c r="G198" s="3">
        <v>43531</v>
      </c>
      <c r="H198" t="inlineStr">
        <is>
          <t>pCODR 10145</t>
        </is>
      </c>
      <c r="I198" t="inlineStr">
        <is>
          <t>50 mg</t>
        </is>
      </c>
      <c r="J198" t="inlineStr">
        <is>
          <t>Lymphoma</t>
        </is>
      </c>
      <c r="K198" t="inlineStr">
        <is>
          <t>For the treatment of patients with HL after failure of at least two multi-agent chemotherapy regimens in patients who are not ASCT candidates</t>
        </is>
      </c>
      <c r="L198" t="inlineStr">
        <is>
          <t>No</t>
        </is>
      </c>
      <c r="M198" s="3">
        <v>41306</v>
      </c>
      <c r="N198" t="inlineStr">
        <is>
          <t>Seattle Genetics, Inc.</t>
        </is>
      </c>
      <c r="O198" t="inlineStr">
        <is>
          <t>Seattle Genetics, Inc.</t>
        </is>
      </c>
      <c r="P198" s="3">
        <v>43354</v>
      </c>
      <c r="Q198" t="inlineStr">
        <is>
          <t>Resubmission</t>
        </is>
      </c>
      <c r="R198" t="inlineStr">
        <is>
          <t>Requested and Granted</t>
        </is>
      </c>
      <c r="T198" s="3">
        <v>43396</v>
      </c>
      <c r="U198" s="3">
        <v>43447</v>
      </c>
      <c r="X198" s="3">
        <v>43517</v>
      </c>
      <c r="Y198" s="3">
        <v>43546</v>
      </c>
    </row>
    <row r="199">
      <c r="A199" s="2">
        <f>HYPERLINK("https://www.cadth.ca/cemiplimab-libtayo-cutaneous-squamous-cell-carcinoma-details", "Libtayo")</f>
        <v>0</v>
      </c>
      <c r="B199" t="inlineStr">
        <is>
          <t>Cemiplimab</t>
        </is>
      </c>
      <c r="C199" t="inlineStr">
        <is>
          <t>Skin &amp; Melanoma Cutaneous Squamous Cell Carcinoma</t>
        </is>
      </c>
      <c r="E199" t="inlineStr">
        <is>
          <t>Notification to Implement Issued</t>
        </is>
      </c>
      <c r="F199" s="3">
        <v>43655</v>
      </c>
      <c r="G199" s="3">
        <v>43852</v>
      </c>
      <c r="H199" t="inlineStr">
        <is>
          <t>pCODR 10187</t>
        </is>
      </c>
      <c r="I199" t="inlineStr">
        <is>
          <t>50mg/mL</t>
        </is>
      </c>
      <c r="J199" t="inlineStr">
        <is>
          <t>Skin &amp; Melanoma</t>
        </is>
      </c>
      <c r="K199" t="inlineStr">
        <is>
          <t>For the treatment of adult patients with metastatic or locally advanced cutaneous squamous cell carcinoma who are not candidates for curative surgery or curative radiation.</t>
        </is>
      </c>
      <c r="L199" t="inlineStr">
        <is>
          <t>No</t>
        </is>
      </c>
      <c r="M199" s="3">
        <v>43565</v>
      </c>
      <c r="N199" t="inlineStr">
        <is>
          <t>Sanofi Genzyme</t>
        </is>
      </c>
      <c r="O199" t="inlineStr">
        <is>
          <t>Sanofi Genzyme</t>
        </is>
      </c>
      <c r="P199" s="3">
        <v>43676</v>
      </c>
      <c r="Q199" t="inlineStr">
        <is>
          <t>New Drug</t>
        </is>
      </c>
      <c r="T199" s="3">
        <v>43725</v>
      </c>
      <c r="U199" s="3">
        <v>43811</v>
      </c>
      <c r="Y199" s="3">
        <v>43867</v>
      </c>
    </row>
    <row r="200">
      <c r="A200" s="2">
        <f>HYPERLINK("https://www.cadth.ca/pembrolizumab-keytruda-renal-cell-carcinoma-details", "Keytruda")</f>
        <v>0</v>
      </c>
      <c r="B200" t="inlineStr">
        <is>
          <t>Pembrolizumab</t>
        </is>
      </c>
      <c r="C200" t="inlineStr">
        <is>
          <t>Genitourinary Renal Cell Carcinoma</t>
        </is>
      </c>
      <c r="E200" t="inlineStr">
        <is>
          <t>Notification to Implement Issued</t>
        </is>
      </c>
      <c r="F200" s="3">
        <v>43679</v>
      </c>
      <c r="G200" s="3">
        <v>43923</v>
      </c>
      <c r="H200" t="inlineStr">
        <is>
          <t>pCODR 10185</t>
        </is>
      </c>
      <c r="I200" t="inlineStr">
        <is>
          <t>25 mg/mL &amp; 50 mg/vial</t>
        </is>
      </c>
      <c r="J200" t="inlineStr">
        <is>
          <t>Genitourinary</t>
        </is>
      </c>
      <c r="K200" t="inlineStr">
        <is>
          <t>For the treatment of patients with advanced renal cell carcinoma (RCC) in combination with axinitib, as first-line treatment.</t>
        </is>
      </c>
      <c r="L200" t="inlineStr">
        <is>
          <t>Yes</t>
        </is>
      </c>
      <c r="M200" s="3">
        <v>43812</v>
      </c>
      <c r="N200" t="inlineStr">
        <is>
          <t>Merck Canada</t>
        </is>
      </c>
      <c r="O200" t="inlineStr">
        <is>
          <t>Merck Canada</t>
        </is>
      </c>
      <c r="P200" s="3">
        <v>43696</v>
      </c>
      <c r="Q200" t="inlineStr">
        <is>
          <t>New Indication</t>
        </is>
      </c>
      <c r="T200" s="3">
        <v>43768</v>
      </c>
      <c r="U200" s="3">
        <v>43846</v>
      </c>
      <c r="X200" s="3">
        <v>43909</v>
      </c>
      <c r="Y200" s="3">
        <v>43941</v>
      </c>
    </row>
    <row r="201">
      <c r="A201" s="2">
        <f>HYPERLINK("https://www.cadth.ca/entrectinib-tbd-neurotrophic-tyrosine-receptor-kinase-ntrk-fusion-positive-solid-tumours", "TBD")</f>
        <v>0</v>
      </c>
      <c r="B201" t="inlineStr">
        <is>
          <t>Entrectinib</t>
        </is>
      </c>
      <c r="C201" t="inlineStr">
        <is>
          <t>Other Neurotrophic Tyrosine Receptor Kinase (NTRK) Fusion-Positive Solid Tumours</t>
        </is>
      </c>
      <c r="E201" t="inlineStr">
        <is>
          <t>Withdrawn</t>
        </is>
      </c>
      <c r="F201" s="3">
        <v>43675</v>
      </c>
      <c r="H201" t="inlineStr">
        <is>
          <t>pCODR 10157</t>
        </is>
      </c>
      <c r="J201" t="inlineStr">
        <is>
          <t>Other</t>
        </is>
      </c>
      <c r="K201" t="inlineStr">
        <is>
          <t>For the treatment of NTRK fusion-positive, locally advanced or metastatic solid tumors in adult and pediatric patients.</t>
        </is>
      </c>
      <c r="L201" t="inlineStr">
        <is>
          <t>Yes</t>
        </is>
      </c>
      <c r="N201" t="inlineStr">
        <is>
          <t>Hoffmann-La Roche Limited</t>
        </is>
      </c>
      <c r="O201" t="inlineStr">
        <is>
          <t>Hoffmann-La Roche Limited</t>
        </is>
      </c>
      <c r="P201" s="3">
        <v>43700</v>
      </c>
      <c r="Q201" t="inlineStr">
        <is>
          <t>New Drug</t>
        </is>
      </c>
      <c r="T201" s="3">
        <v>43761</v>
      </c>
      <c r="Z201" t="inlineStr">
        <is>
          <t>Hoffmann-La Roche Limited has requested a voluntary withdrawal of the pCODR 10157 Entrectinib (TBD) for NTRK+ solid tumours  submission.</t>
        </is>
      </c>
    </row>
    <row r="202">
      <c r="A202" s="2">
        <f>HYPERLINK("https://www.cadth.ca/trifluridine-and-tipiracil-lonsurf-metastatic-colorectal-cancer-resubmission-details", "Lonsurf")</f>
        <v>0</v>
      </c>
      <c r="B202" t="inlineStr">
        <is>
          <t>Trifluridine and Tipiracil</t>
        </is>
      </c>
      <c r="C202" t="inlineStr">
        <is>
          <t>Gastrointestinal Metastatic Colorectal Cancer</t>
        </is>
      </c>
      <c r="E202" t="inlineStr">
        <is>
          <t>Notification to Implement Issued</t>
        </is>
      </c>
      <c r="F202" s="3">
        <v>43486</v>
      </c>
      <c r="G202" s="3">
        <v>43706</v>
      </c>
      <c r="H202" t="inlineStr">
        <is>
          <t>pCODR 10173</t>
        </is>
      </c>
      <c r="I202" t="inlineStr">
        <is>
          <t>15 mg &amp; 20 mg</t>
        </is>
      </c>
      <c r="J202" t="inlineStr">
        <is>
          <t>Gastrointestinal</t>
        </is>
      </c>
      <c r="K202" t="inlineStr">
        <is>
          <t>Treatment of adult patients with mCRC who have been previously treated with, or are not candidates for, available therapies including fluoropyrimidine-, oxaliplatin- and irinotecan-based chemotherapies, anti-VEGF biological agents, and, if RAS wild-type, anti-EGFR agents</t>
        </is>
      </c>
      <c r="L202" t="inlineStr">
        <is>
          <t>No</t>
        </is>
      </c>
      <c r="M202" s="3">
        <v>43125</v>
      </c>
      <c r="N202" t="inlineStr">
        <is>
          <t>Taiho Pharma Canada, Inc.</t>
        </is>
      </c>
      <c r="O202" t="inlineStr">
        <is>
          <t>Taiho Pharma Canada, Inc.</t>
        </is>
      </c>
      <c r="P202" s="3">
        <v>43500</v>
      </c>
      <c r="Q202" t="inlineStr">
        <is>
          <t>Resubmission</t>
        </is>
      </c>
      <c r="T202" s="3">
        <v>43564</v>
      </c>
      <c r="U202" s="3">
        <v>43636</v>
      </c>
      <c r="X202" s="3">
        <v>43692</v>
      </c>
      <c r="Y202" s="3">
        <v>43724</v>
      </c>
    </row>
    <row r="203">
      <c r="A203" s="2">
        <f>HYPERLINK("https://www.cadth.ca/brigatinib-alunbrig-non-small-cell-lung-cancer-nsclc-details", "Alunbrig")</f>
        <v>0</v>
      </c>
      <c r="B203" t="inlineStr">
        <is>
          <t>Brigatinib</t>
        </is>
      </c>
      <c r="C203" t="inlineStr">
        <is>
          <t>Lung Non-Small Cell Lung Cancer (NSCLC)</t>
        </is>
      </c>
      <c r="E203" t="inlineStr">
        <is>
          <t>Notification to Implement Issued</t>
        </is>
      </c>
      <c r="F203" s="3">
        <v>43439</v>
      </c>
      <c r="G203" s="3">
        <v>43678</v>
      </c>
      <c r="H203" t="inlineStr">
        <is>
          <t>pCODR 10167</t>
        </is>
      </c>
      <c r="I203" t="inlineStr">
        <is>
          <t>30 mg, 90 mg, and 180 mg</t>
        </is>
      </c>
      <c r="J203" t="inlineStr">
        <is>
          <t>Lung</t>
        </is>
      </c>
      <c r="K203" t="inlineStr">
        <is>
          <t>For the treatment of adult patients with anaplastic lymphoma kinase (ALK)-positive metastatic non–small cell lung cancer (NSCLC) who have progressed on or who were intolerant to an ALK inhibitor (crizotinib).</t>
        </is>
      </c>
      <c r="L203" t="inlineStr">
        <is>
          <t>No</t>
        </is>
      </c>
      <c r="M203" s="3">
        <v>43307</v>
      </c>
      <c r="N203" t="inlineStr">
        <is>
          <t>Takeda Canada Inc.</t>
        </is>
      </c>
      <c r="O203" t="inlineStr">
        <is>
          <t>Takeda Canada Inc.</t>
        </is>
      </c>
      <c r="P203" s="3">
        <v>43453</v>
      </c>
      <c r="Q203" t="inlineStr">
        <is>
          <t>New Drug</t>
        </is>
      </c>
      <c r="T203" s="3">
        <v>43516</v>
      </c>
      <c r="U203" s="3">
        <v>43601</v>
      </c>
      <c r="X203" s="3">
        <v>43664</v>
      </c>
      <c r="Y203" s="3">
        <v>43696</v>
      </c>
    </row>
    <row r="204">
      <c r="A204" s="2">
        <f>HYPERLINK("https://www.cadth.ca/brentuximab-vedotin-adcetris-primary-cutaneous-anaplastic-large-cell-lymphoma-or-cd30-expressing", "Adcetris")</f>
        <v>0</v>
      </c>
      <c r="B204" t="inlineStr">
        <is>
          <t>Brentuximab Vedotin</t>
        </is>
      </c>
      <c r="C204" t="inlineStr">
        <is>
          <t>Lymphoma Primary Cutaneous Anaplastic Large Cell Lymphoma or CD30-Expressing Mycosis Fungoides</t>
        </is>
      </c>
      <c r="E204" t="inlineStr">
        <is>
          <t>Under Review</t>
        </is>
      </c>
      <c r="F204" s="3">
        <v>43920</v>
      </c>
      <c r="H204" t="inlineStr">
        <is>
          <t>pCODR 10213</t>
        </is>
      </c>
      <c r="I204" t="inlineStr">
        <is>
          <t>50 mg</t>
        </is>
      </c>
      <c r="J204" t="inlineStr">
        <is>
          <t>Lymphoma</t>
        </is>
      </c>
      <c r="K204" t="inlineStr">
        <is>
          <t>For the treatment of adult patients with pcALCL or CD30-expressing MF who have had prior systemic therapy.</t>
        </is>
      </c>
      <c r="L204" t="inlineStr">
        <is>
          <t>No</t>
        </is>
      </c>
      <c r="M204" s="3">
        <v>43455</v>
      </c>
      <c r="N204" t="inlineStr">
        <is>
          <t>Seattle Genetics, Inc.</t>
        </is>
      </c>
      <c r="O204" t="inlineStr">
        <is>
          <t>Seattle Genetics, Inc.</t>
        </is>
      </c>
      <c r="P204" s="3">
        <v>43936</v>
      </c>
      <c r="Q204" t="inlineStr">
        <is>
          <t>New Indication</t>
        </is>
      </c>
      <c r="T204" s="3">
        <v>43984</v>
      </c>
      <c r="U204" s="3">
        <v>44091</v>
      </c>
    </row>
    <row r="205">
      <c r="A205" s="2">
        <f>HYPERLINK("https://www.cadth.ca/lynparza-olaparib-0", "Lynparza")</f>
        <v>0</v>
      </c>
      <c r="B205" t="inlineStr">
        <is>
          <t>Olaparib</t>
        </is>
      </c>
      <c r="C205" t="inlineStr">
        <is>
          <t>Breast Treatment of adult patients with deleterious or suspected deleterious germline BRCAmutated (gBRCAm), human epidermal growth factor receptor 2 (HER2)-negative metastatic breast cancer who have previously been treated with chemotherapy in the neoadjuvant, adjuvant or metastatic setting.</t>
        </is>
      </c>
      <c r="E205" t="inlineStr">
        <is>
          <t>Not Filed</t>
        </is>
      </c>
      <c r="J205" t="inlineStr">
        <is>
          <t>Breast</t>
        </is>
      </c>
      <c r="N205" t="inlineStr">
        <is>
          <t>AstraZeneca Canada</t>
        </is>
      </c>
      <c r="Q205" t="inlineStr">
        <is>
          <t>Non-Submission</t>
        </is>
      </c>
      <c r="Z205" t="inlineStr">
        <is>
          <t>CADTH is unable to recommend reimbursement as a submission was not filed by the manufacturer.</t>
        </is>
      </c>
    </row>
    <row r="206">
      <c r="A206" s="2">
        <f>HYPERLINK("https://www.cadth.ca/enzalutamide-xtandi-metastatic-castration-sensitive-prostate-cancer-details", "Xtandi")</f>
        <v>0</v>
      </c>
      <c r="B206" t="inlineStr">
        <is>
          <t>Enzalutamide</t>
        </is>
      </c>
      <c r="C206" t="inlineStr">
        <is>
          <t>Genitourinary Metastatic Castration Sensitive Prostate Cancer (mCSPC)</t>
        </is>
      </c>
      <c r="E206" t="inlineStr">
        <is>
          <t>Notification to Implement Issued</t>
        </is>
      </c>
      <c r="F206" s="3">
        <v>43885</v>
      </c>
      <c r="G206" s="3">
        <v>44097</v>
      </c>
      <c r="H206" t="inlineStr">
        <is>
          <t>pCODR 10209</t>
        </is>
      </c>
      <c r="I206" t="inlineStr">
        <is>
          <t>40mg</t>
        </is>
      </c>
      <c r="J206" t="inlineStr">
        <is>
          <t>Genitourinary</t>
        </is>
      </c>
      <c r="K206" t="inlineStr">
        <is>
          <t>For the treatment of patients with metastatic castration sensitive prostate cancer</t>
        </is>
      </c>
      <c r="L206" t="inlineStr">
        <is>
          <t>Yes</t>
        </is>
      </c>
      <c r="M206" s="3">
        <v>43984</v>
      </c>
      <c r="N206" t="inlineStr">
        <is>
          <t>Astellas Pharma Canada, Inc.</t>
        </is>
      </c>
      <c r="O206" t="inlineStr">
        <is>
          <t>Astellas Pharma Canada, Inc.</t>
        </is>
      </c>
      <c r="P206" s="3">
        <v>43902</v>
      </c>
      <c r="Q206" t="inlineStr">
        <is>
          <t>New Indication</t>
        </is>
      </c>
      <c r="T206" s="3">
        <v>43944</v>
      </c>
      <c r="U206" s="3">
        <v>44063</v>
      </c>
      <c r="Y206" s="3">
        <v>44112</v>
      </c>
    </row>
    <row r="207">
      <c r="A207" s="2">
        <f>HYPERLINK("https://www.cadth.ca/pembrolizumab-keytruda-mismatch-repair-deficient-colorectal-cancer-details", "Keytruda")</f>
        <v>0</v>
      </c>
      <c r="B207" t="inlineStr">
        <is>
          <t>Pembrolizumab</t>
        </is>
      </c>
      <c r="C207" t="inlineStr">
        <is>
          <t>Gastrointestinal Adult patients with unresectable or metastatic microsatellite instability high (MSI-H) or mismatch repair deficient (dMMR) colorectal cancer whose tumours have progressed following treatment with a fluoropyrimidine, oxaliplatin, and irinotecan, as monotherapy.</t>
        </is>
      </c>
      <c r="E207" t="inlineStr">
        <is>
          <t>Not Filed</t>
        </is>
      </c>
      <c r="J207" t="inlineStr">
        <is>
          <t>Gastrointestinal</t>
        </is>
      </c>
      <c r="N207" t="inlineStr">
        <is>
          <t>Merck Canada Inc.</t>
        </is>
      </c>
      <c r="Q207" t="inlineStr">
        <is>
          <t>Non-Submission</t>
        </is>
      </c>
      <c r="Z207" t="inlineStr">
        <is>
          <t>CADTH is unable to recommend reimbursement because a submission was not filed by the manufacturer.</t>
        </is>
      </c>
    </row>
    <row r="208">
      <c r="A208" s="2">
        <f>HYPERLINK("https://www.cadth.ca/pembrolizumab-keytruda-hnscc-details", "Keytruda")</f>
        <v>0</v>
      </c>
      <c r="B208" t="inlineStr">
        <is>
          <t>Pembrolizumab</t>
        </is>
      </c>
      <c r="C208" t="inlineStr">
        <is>
          <t>Head and Neck Head and Neck Squamous Cell Carcinoma (HNSCC)</t>
        </is>
      </c>
      <c r="E208" t="inlineStr">
        <is>
          <t>Under Review</t>
        </is>
      </c>
      <c r="F208" s="3">
        <v>43952</v>
      </c>
      <c r="H208" t="inlineStr">
        <is>
          <t>pCODR 10216</t>
        </is>
      </c>
      <c r="I208" t="inlineStr">
        <is>
          <t>25 mg/mL</t>
        </is>
      </c>
      <c r="J208" t="inlineStr">
        <is>
          <t>Head and Neck</t>
        </is>
      </c>
      <c r="K208" t="inlineStr">
        <is>
          <t>First-line treatment of metastatic or unresectable recurrent head and neck squamous cell carcinoma (HNSCC) as monotherapy, in adult patients whose tumours have PD-L1 expression [Combined Positive Score (CPS) ≥ 1] as determined by a validated test.  First-line treatment of metastatic or unresectable recurrent head and neck squamous cell carcinoma (HNSCC) in combination with platinum and fluorouracil (FU) chemotherapy, in adult patients.</t>
        </is>
      </c>
      <c r="L208" t="inlineStr">
        <is>
          <t>Yes</t>
        </is>
      </c>
      <c r="M208" s="3">
        <v>44113</v>
      </c>
      <c r="N208" t="inlineStr">
        <is>
          <t>Merck Canada</t>
        </is>
      </c>
      <c r="O208" t="inlineStr">
        <is>
          <t>Merck Canada</t>
        </is>
      </c>
      <c r="P208" s="3">
        <v>43993</v>
      </c>
      <c r="Q208" t="inlineStr">
        <is>
          <t>New Indication</t>
        </is>
      </c>
      <c r="T208" s="3">
        <v>44054</v>
      </c>
    </row>
    <row r="209">
      <c r="A209" s="2">
        <f>HYPERLINK("https://www.cadth.ca/blincyto-mrd-positive-b-cell-precursor-all-details", "Blincyto")</f>
        <v>0</v>
      </c>
      <c r="B209" t="inlineStr">
        <is>
          <t>Blinatumomab</t>
        </is>
      </c>
      <c r="C209" t="inlineStr">
        <is>
          <t>Leukemia Minimal Residual Disease (MRD)-Positive B-Cell Precursor Acute Lymphoblastic Leukemia (BCP ALL)</t>
        </is>
      </c>
      <c r="E209" t="inlineStr">
        <is>
          <t>Final Recommendation Posted</t>
        </is>
      </c>
      <c r="F209" s="3">
        <v>43850</v>
      </c>
      <c r="G209" s="3">
        <v>44133</v>
      </c>
      <c r="H209" t="inlineStr">
        <is>
          <t>pCODR 10204</t>
        </is>
      </c>
      <c r="I209" t="inlineStr">
        <is>
          <t>38.5 mcg</t>
        </is>
      </c>
      <c r="J209" t="inlineStr">
        <is>
          <t>Leukemia</t>
        </is>
      </c>
      <c r="K209" t="inlineStr">
        <is>
          <t>Patients with Philadelphia chromosome-negative CD19 positive B-precursor acute lymphoblastic leukemia (ALL) in first or second hematologic complete remission with minimal residual disease (MRD) greater than or equal to 0.1%</t>
        </is>
      </c>
      <c r="L209" t="inlineStr">
        <is>
          <t>No</t>
        </is>
      </c>
      <c r="M209" s="3">
        <v>43818</v>
      </c>
      <c r="N209" t="inlineStr">
        <is>
          <t>Amgen Canada Inc</t>
        </is>
      </c>
      <c r="O209" t="inlineStr">
        <is>
          <t>Amgen Canada Inc</t>
        </is>
      </c>
      <c r="P209" s="3">
        <v>43864</v>
      </c>
      <c r="Q209" t="inlineStr">
        <is>
          <t>New Indication</t>
        </is>
      </c>
      <c r="T209" s="3">
        <v>43930</v>
      </c>
      <c r="U209" s="3">
        <v>44063</v>
      </c>
      <c r="X209" s="3">
        <v>44119</v>
      </c>
    </row>
    <row r="210">
      <c r="A210" s="2">
        <f>HYPERLINK("https://www.cadth.ca/isatuximab-sarclisa-multiple-myeloma-details", "Sarclisa")</f>
        <v>0</v>
      </c>
      <c r="B210" t="inlineStr">
        <is>
          <t>Isatuximab</t>
        </is>
      </c>
      <c r="C210" t="inlineStr">
        <is>
          <t>Myeloma Multiple Myeloma</t>
        </is>
      </c>
      <c r="E210" t="inlineStr">
        <is>
          <t>Under Review</t>
        </is>
      </c>
      <c r="F210" s="3">
        <v>44060</v>
      </c>
      <c r="H210" t="inlineStr">
        <is>
          <t>pCODR 10220</t>
        </is>
      </c>
      <c r="I210" t="inlineStr">
        <is>
          <t>100mg and 500mg</t>
        </is>
      </c>
      <c r="J210" t="inlineStr">
        <is>
          <t>Myeloma</t>
        </is>
      </c>
      <c r="K210" t="inlineStr">
        <is>
          <t>Isatuximab in combination with pomalidomide and dexamethasone, for the treatment of patients with relapsed and refractory multiple myeloma who have received at least two prior therapies including lenalidomide and a proteasome inhibitor.</t>
        </is>
      </c>
      <c r="L210" t="inlineStr">
        <is>
          <t>No</t>
        </is>
      </c>
      <c r="M210" s="3">
        <v>43950</v>
      </c>
      <c r="N210" t="inlineStr">
        <is>
          <t>Sanofi Genzyme</t>
        </is>
      </c>
      <c r="O210" t="inlineStr">
        <is>
          <t>Sanofi Genzyme</t>
        </is>
      </c>
      <c r="P210" s="3">
        <v>44074</v>
      </c>
      <c r="Q210" t="inlineStr">
        <is>
          <t>New Drug</t>
        </is>
      </c>
      <c r="T210" s="3">
        <v>44132</v>
      </c>
    </row>
    <row r="211">
      <c r="A211" s="2">
        <f>HYPERLINK("https://www.cadth.ca/niraparib-zejula-first-line-ovarian-cancer-details", "Zejula")</f>
        <v>0</v>
      </c>
      <c r="B211" t="inlineStr">
        <is>
          <t>Niraparib</t>
        </is>
      </c>
      <c r="C211" t="inlineStr">
        <is>
          <t>Gynecology Ovarian Cancer</t>
        </is>
      </c>
      <c r="E211" t="inlineStr">
        <is>
          <t>Under Review</t>
        </is>
      </c>
      <c r="F211" s="3">
        <v>44095</v>
      </c>
      <c r="H211" t="inlineStr">
        <is>
          <t>pCODR 10224</t>
        </is>
      </c>
      <c r="I211" t="inlineStr">
        <is>
          <t>100 mg</t>
        </is>
      </c>
      <c r="J211" t="inlineStr">
        <is>
          <t>Gynecology</t>
        </is>
      </c>
      <c r="K211" t="inlineStr">
        <is>
          <t>Maintenance treatment of adult patients with advanced epithelial ovarian, fallopian tube, or primary peritoneal cancer who are in a complete or partial response to first-line platinum-based chemotherapy</t>
        </is>
      </c>
      <c r="L211" t="inlineStr">
        <is>
          <t>Yes</t>
        </is>
      </c>
      <c r="M211" s="3">
        <v>44106</v>
      </c>
      <c r="N211" t="inlineStr">
        <is>
          <t>GlaxoSmithKline Inc.</t>
        </is>
      </c>
      <c r="O211" t="inlineStr">
        <is>
          <t>GlaxoSmithKline Inc.</t>
        </is>
      </c>
      <c r="P211" s="3">
        <v>44109</v>
      </c>
      <c r="Q211" t="inlineStr">
        <is>
          <t>New Indication</t>
        </is>
      </c>
    </row>
    <row r="212">
      <c r="A212" s="2">
        <f>HYPERLINK("https://www.cadth.ca/olaparib-lynparza-metastatic-castration-resistant-prostate-cancer-details", "Lynparza")</f>
        <v>0</v>
      </c>
      <c r="B212" t="inlineStr">
        <is>
          <t>Olaparib</t>
        </is>
      </c>
      <c r="C212" t="inlineStr">
        <is>
          <t>Genitourinary Metastatic Castration-Resistant Prostate Cancer (mCRPC)</t>
        </is>
      </c>
      <c r="E212" t="inlineStr">
        <is>
          <t>Under Review</t>
        </is>
      </c>
      <c r="F212" s="3">
        <v>44096</v>
      </c>
      <c r="H212" t="inlineStr">
        <is>
          <t>pCODR 10223</t>
        </is>
      </c>
      <c r="J212" t="inlineStr">
        <is>
          <t>Genitourinary</t>
        </is>
      </c>
      <c r="K212" t="inlineStr">
        <is>
          <t>As monotherapy for the treatment of adult patients with mCRPC and deleterious or suspected deleterious germline and/or somatic mutations in the HRR genes BRCA or ATM who have progressed following prior treatment with a NHA.</t>
        </is>
      </c>
      <c r="L212" t="inlineStr">
        <is>
          <t>No</t>
        </is>
      </c>
      <c r="N212" t="inlineStr">
        <is>
          <t>AstraZeneca Canada Inc.</t>
        </is>
      </c>
      <c r="O212" t="inlineStr">
        <is>
          <t>AstraZeneca Canada Inc.</t>
        </is>
      </c>
      <c r="Q212" t="inlineStr">
        <is>
          <t>New Indication</t>
        </is>
      </c>
    </row>
    <row r="213">
      <c r="A213" s="2">
        <f>HYPERLINK("https://www.cadth.ca/decitabine-cedazuridine-inqovi-mds-details", "Inqovi")</f>
        <v>0</v>
      </c>
      <c r="B213" t="inlineStr">
        <is>
          <t>Decitabine-Cedazuridine</t>
        </is>
      </c>
      <c r="C213" t="inlineStr">
        <is>
          <t>Leukemia Myelodysplastic Syndromes (MDS)</t>
        </is>
      </c>
      <c r="E213" t="inlineStr">
        <is>
          <t>Under Review</t>
        </is>
      </c>
      <c r="F213" s="3">
        <v>44113</v>
      </c>
      <c r="H213" t="inlineStr">
        <is>
          <t>pCODR 10228</t>
        </is>
      </c>
      <c r="J213" t="inlineStr">
        <is>
          <t>Leukemia</t>
        </is>
      </c>
      <c r="K213" t="inlineStr">
        <is>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is>
      </c>
      <c r="N213" t="inlineStr">
        <is>
          <t>Taiho Pharma Canada, Inc.</t>
        </is>
      </c>
      <c r="O213" t="inlineStr">
        <is>
          <t>Taiho Pharma Canada, Inc.</t>
        </is>
      </c>
      <c r="Q213" t="inlineStr">
        <is>
          <t>New Drug</t>
        </is>
      </c>
    </row>
    <row r="214">
      <c r="A214" s="2">
        <f>HYPERLINK("https://www.cadth.ca/dabrafenib-and-trametinib-non-small-cell-lung-cancer-braf-v600-mutation-details", "Tafinlar and Mekinist")</f>
        <v>0</v>
      </c>
      <c r="B214" t="inlineStr">
        <is>
          <t>Dabrafenib and Trametinib</t>
        </is>
      </c>
      <c r="C214" t="inlineStr">
        <is>
          <t>Lung Non-Small Cell Lung Cancer (NSCLC) BRAF V600 mutation</t>
        </is>
      </c>
      <c r="E214" t="inlineStr">
        <is>
          <t>Under Review</t>
        </is>
      </c>
      <c r="F214" s="3">
        <v>44105</v>
      </c>
      <c r="H214" t="inlineStr">
        <is>
          <t>pCODR 10226</t>
        </is>
      </c>
      <c r="J214" t="inlineStr">
        <is>
          <t>Lung</t>
        </is>
      </c>
      <c r="K214" t="inlineStr">
        <is>
          <t>For the treatment of patients with metastatic non-small cell lung cancer (NSCLC) with a BRAF V600 mutation and who have not received any prior anti-cancer therapy for metastatic disease.</t>
        </is>
      </c>
      <c r="L214" t="inlineStr">
        <is>
          <t>No</t>
        </is>
      </c>
      <c r="N214" t="inlineStr">
        <is>
          <t>Novartis Pharmaceuticals Canada Inc.</t>
        </is>
      </c>
      <c r="O214" t="inlineStr">
        <is>
          <t>Novartis Pharmaceuticals Canada Inc.</t>
        </is>
      </c>
      <c r="P214" s="3">
        <v>44120</v>
      </c>
      <c r="Q214" t="inlineStr">
        <is>
          <t>New Indication</t>
        </is>
      </c>
    </row>
    <row r="215">
      <c r="A215" s="2">
        <f>HYPERLINK("https://www.cadth.ca/avelumab-bavencio-urothelial-carcinoma-details", "Bavencio")</f>
        <v>0</v>
      </c>
      <c r="B215" t="inlineStr">
        <is>
          <t>Avelumab</t>
        </is>
      </c>
      <c r="C215" t="inlineStr">
        <is>
          <t>Genitourinary Urothelial Carcinoma (UC)</t>
        </is>
      </c>
      <c r="E215" t="inlineStr">
        <is>
          <t>Under Review</t>
        </is>
      </c>
      <c r="F215" s="3">
        <v>44092</v>
      </c>
      <c r="H215" t="inlineStr">
        <is>
          <t>pCODR 10225</t>
        </is>
      </c>
      <c r="J215" t="inlineStr">
        <is>
          <t>Genitourinary</t>
        </is>
      </c>
      <c r="K215" t="inlineStr">
        <is>
          <t>Bavencio is indicated for the first-line maintenance treatment of patients with locally advanced or metastatic urothelial carcinoma (UC) whose disease has not progressed with first-line platinum-based induction chemotherapy.</t>
        </is>
      </c>
      <c r="L215" t="inlineStr">
        <is>
          <t>Yes</t>
        </is>
      </c>
      <c r="N215" t="inlineStr">
        <is>
          <t>EMD Serono - Pfizer Alliance</t>
        </is>
      </c>
      <c r="O215" t="inlineStr">
        <is>
          <t>EMD Serono - Pfizer Alliance</t>
        </is>
      </c>
      <c r="Q215" t="inlineStr">
        <is>
          <t>New Indication</t>
        </is>
      </c>
    </row>
    <row r="216">
      <c r="A216" s="2">
        <f>HYPERLINK("https://www.cadth.ca/pomalyst-combination-dexamethasone-and-bortezomib-multiple-myeloma-second-line-or-beyond-details", "Pomalyst")</f>
        <v>0</v>
      </c>
      <c r="B216" t="inlineStr">
        <is>
          <t>Pomalidomide</t>
        </is>
      </c>
      <c r="C216" t="inlineStr">
        <is>
          <t>Myeloma Multiple Myeloma (second-line or beyond)</t>
        </is>
      </c>
      <c r="E216" t="inlineStr">
        <is>
          <t>Notification to Implement Issued</t>
        </is>
      </c>
      <c r="F216" s="3">
        <v>43539</v>
      </c>
      <c r="G216" s="3">
        <v>43726</v>
      </c>
      <c r="H216" t="inlineStr">
        <is>
          <t>pCODR 10165</t>
        </is>
      </c>
      <c r="I216" t="inlineStr">
        <is>
          <t>1 mg, 2 mg, 3 mg &amp; 4 mg</t>
        </is>
      </c>
      <c r="J216" t="inlineStr">
        <is>
          <t>Myeloma</t>
        </is>
      </c>
      <c r="K216" t="inlineStr">
        <is>
          <t>Pomalidomide in combination with dexamethasone and bortezomib for the treatment of adult patients with relapsed or refractory multiple myeloma who have received at least one prior treatment regimen including lenalidomide</t>
        </is>
      </c>
      <c r="L216" t="inlineStr">
        <is>
          <t>Yes</t>
        </is>
      </c>
      <c r="M216" s="3">
        <v>43648</v>
      </c>
      <c r="N216" t="inlineStr">
        <is>
          <t>Celgene Inc.</t>
        </is>
      </c>
      <c r="O216" t="inlineStr">
        <is>
          <t>Celgene Inc.</t>
        </is>
      </c>
      <c r="P216" s="3">
        <v>43553</v>
      </c>
      <c r="Q216" t="inlineStr">
        <is>
          <t>New Indication</t>
        </is>
      </c>
      <c r="T216" s="3">
        <v>43621</v>
      </c>
      <c r="U216" s="3">
        <v>43692</v>
      </c>
      <c r="Y216" s="3">
        <v>43741</v>
      </c>
    </row>
    <row r="217">
      <c r="A217" s="2">
        <f>HYPERLINK("https://www.cadth.ca/nerlynx-hormone-receptor-positive-breast-cancer-details", "Nerlynx")</f>
        <v>0</v>
      </c>
      <c r="B217" t="inlineStr">
        <is>
          <t>Neratinib</t>
        </is>
      </c>
      <c r="C217" t="inlineStr">
        <is>
          <t>Breast Hormone Receptor-Positive Breast Cancer</t>
        </is>
      </c>
      <c r="E217" t="inlineStr">
        <is>
          <t>Notification to Implement Issued</t>
        </is>
      </c>
      <c r="F217" s="3">
        <v>43573</v>
      </c>
      <c r="G217" s="3">
        <v>43804</v>
      </c>
      <c r="H217" t="inlineStr">
        <is>
          <t>pCODR 10172</t>
        </is>
      </c>
      <c r="I217" t="inlineStr">
        <is>
          <t>40 mg</t>
        </is>
      </c>
      <c r="J217" t="inlineStr">
        <is>
          <t>Breast</t>
        </is>
      </c>
      <c r="K217" t="inlineStr">
        <is>
          <t>For patients with HER2-positive, hormone receptor-positive breast (HR-positive) cancer who have completed adjuvant trastuzumab-based therapy within the past 12 months</t>
        </is>
      </c>
      <c r="L217" t="inlineStr">
        <is>
          <t>Yes</t>
        </is>
      </c>
      <c r="M217" s="3">
        <v>43662</v>
      </c>
      <c r="N217" t="inlineStr">
        <is>
          <t>Knight Therapeutics Inc.</t>
        </is>
      </c>
      <c r="O217" t="inlineStr">
        <is>
          <t>Knight Therapeutics Inc.</t>
        </is>
      </c>
      <c r="P217" s="3">
        <v>43588</v>
      </c>
      <c r="Q217" t="inlineStr">
        <is>
          <t>New Drug</t>
        </is>
      </c>
      <c r="T217" s="3">
        <v>43650</v>
      </c>
      <c r="U217" s="3">
        <v>43727</v>
      </c>
      <c r="X217" s="3">
        <v>43790</v>
      </c>
      <c r="Y217" s="3">
        <v>43819</v>
      </c>
    </row>
    <row r="218">
      <c r="A218" s="2">
        <f>HYPERLINK("https://www.cadth.ca/blincyto-philadelphia-chromosome-positive-b-cell-precursor-acute-lymphoblastic-leukemia-details", "Blincyto")</f>
        <v>0</v>
      </c>
      <c r="B218" t="inlineStr">
        <is>
          <t>Blinatumomab</t>
        </is>
      </c>
      <c r="C218" t="inlineStr">
        <is>
          <t>Leukemia Philadelphia chromosome positive (Ph+) B-cell precursor (BCP) acute lymphoblastic leukemia (ALL)</t>
        </is>
      </c>
      <c r="E218" t="inlineStr">
        <is>
          <t>Notification to Implement Issued</t>
        </is>
      </c>
      <c r="F218" s="3">
        <v>43343</v>
      </c>
      <c r="G218" s="3">
        <v>43559</v>
      </c>
      <c r="H218" t="inlineStr">
        <is>
          <t>pCODR 10146</t>
        </is>
      </c>
      <c r="I218" t="inlineStr">
        <is>
          <t>38.5 mcg</t>
        </is>
      </c>
      <c r="J218" t="inlineStr">
        <is>
          <t>Leukemia</t>
        </is>
      </c>
      <c r="K218" t="inlineStr">
        <is>
          <t>Adult patients (i.e., &gt;= 18 years) with Ph+ BCP-ALL, who have relapsed after or are refractory to at least one second-generation or later TKI, or are intolerant to second-generation or later TKIs and intolerant or refractory to imatinib</t>
        </is>
      </c>
      <c r="L218" t="inlineStr">
        <is>
          <t>No</t>
        </is>
      </c>
      <c r="M218" s="3">
        <v>43164</v>
      </c>
      <c r="N218" t="inlineStr">
        <is>
          <t>Amgen Canada Inc.</t>
        </is>
      </c>
      <c r="O218" t="inlineStr">
        <is>
          <t>Amgen Canada Inc.</t>
        </is>
      </c>
      <c r="P218" s="3">
        <v>43360</v>
      </c>
      <c r="Q218" t="inlineStr">
        <is>
          <t>New Indication</t>
        </is>
      </c>
      <c r="T218" s="3">
        <v>43397</v>
      </c>
      <c r="U218" s="3">
        <v>43482</v>
      </c>
      <c r="X218" s="3">
        <v>43545</v>
      </c>
      <c r="Y218" s="3">
        <v>43577</v>
      </c>
    </row>
    <row r="219">
      <c r="A219" s="2">
        <f>HYPERLINK("https://www.cadth.ca/xtandi-non-metastatic-castration-resistant-prostate-cancer-details", "Xtandi")</f>
        <v>0</v>
      </c>
      <c r="B219" t="inlineStr">
        <is>
          <t>Enzalutamide</t>
        </is>
      </c>
      <c r="C219" t="inlineStr">
        <is>
          <t>Genitourinary Non-metastatic castration-resistant prostate cancer</t>
        </is>
      </c>
      <c r="E219" t="inlineStr">
        <is>
          <t>Notification to Implement Issued</t>
        </is>
      </c>
      <c r="F219" s="3">
        <v>43367</v>
      </c>
      <c r="G219" s="3">
        <v>43550</v>
      </c>
      <c r="H219" t="inlineStr">
        <is>
          <t>pCODR 10149</t>
        </is>
      </c>
      <c r="I219" t="inlineStr">
        <is>
          <t>40 mg</t>
        </is>
      </c>
      <c r="J219" t="inlineStr">
        <is>
          <t>Genitourinary</t>
        </is>
      </c>
      <c r="K219" t="inlineStr">
        <is>
          <t>High risk, non-metastatic castration-resistant prostate cancer</t>
        </is>
      </c>
      <c r="L219" t="inlineStr">
        <is>
          <t>Yes</t>
        </is>
      </c>
      <c r="M219" s="3">
        <v>43454</v>
      </c>
      <c r="N219" t="inlineStr">
        <is>
          <t>Astellas Pharma Canada, Inc.</t>
        </is>
      </c>
      <c r="O219" t="inlineStr">
        <is>
          <t>Astellas Pharma Canada, Inc.</t>
        </is>
      </c>
      <c r="P219" s="3">
        <v>43382</v>
      </c>
      <c r="Q219" t="inlineStr">
        <is>
          <t>New Indication</t>
        </is>
      </c>
      <c r="T219" s="3">
        <v>43424</v>
      </c>
      <c r="U219" s="3">
        <v>43517</v>
      </c>
      <c r="Y219" s="3">
        <v>43565</v>
      </c>
    </row>
    <row r="220">
      <c r="A220" s="2">
        <f>HYPERLINK("https://www.cadth.ca/cabometyx-renal-cell-carcinoma-resubmission-details", "Cabometyx")</f>
        <v>0</v>
      </c>
      <c r="B220" t="inlineStr">
        <is>
          <t>Cabozantinib</t>
        </is>
      </c>
      <c r="C220" t="inlineStr">
        <is>
          <t>Genitourinary Renal Cell Carcinoma</t>
        </is>
      </c>
      <c r="E220" t="inlineStr">
        <is>
          <t>Notification to Implement Issued</t>
        </is>
      </c>
      <c r="F220" s="3">
        <v>43360</v>
      </c>
      <c r="G220" s="3">
        <v>43516</v>
      </c>
      <c r="H220" t="inlineStr">
        <is>
          <t>pCODR 10163</t>
        </is>
      </c>
      <c r="I220" t="inlineStr">
        <is>
          <t>20 mg, 40 mg &amp; 60 mg</t>
        </is>
      </c>
      <c r="J220" t="inlineStr">
        <is>
          <t>Genitourinary</t>
        </is>
      </c>
      <c r="K220" t="inlineStr">
        <is>
          <t>For the treatment of patients with advanced renal cell carcinoma (RCC) who have received prior therapy.</t>
        </is>
      </c>
      <c r="L220" t="inlineStr">
        <is>
          <t>No</t>
        </is>
      </c>
      <c r="M220" s="3">
        <v>43357</v>
      </c>
      <c r="N220" t="inlineStr">
        <is>
          <t>Ipsen Biopharmaceuticals Canada Inc.</t>
        </is>
      </c>
      <c r="O220" t="inlineStr">
        <is>
          <t>Ipsen Biopharmaceuticals Canada Inc.</t>
        </is>
      </c>
      <c r="P220" s="3">
        <v>43375</v>
      </c>
      <c r="Q220" t="inlineStr">
        <is>
          <t>Resubmission</t>
        </is>
      </c>
      <c r="T220" s="3">
        <v>43410</v>
      </c>
      <c r="U220" s="3">
        <v>43482</v>
      </c>
      <c r="Y220" s="3">
        <v>43531</v>
      </c>
    </row>
    <row r="221">
      <c r="A221" s="2">
        <f>HYPERLINK("https://www.cadth.ca/beleodaq-peripheral-t-cell-lymphoma-detail", "Beleodaq")</f>
        <v>0</v>
      </c>
      <c r="B221" t="inlineStr">
        <is>
          <t>Belinostat</t>
        </is>
      </c>
      <c r="C221" t="inlineStr">
        <is>
          <t>Lymphoma Peripheral T-Cell Lymphoma (PTCL)</t>
        </is>
      </c>
      <c r="E221" t="inlineStr">
        <is>
          <t>Withdrawn</t>
        </is>
      </c>
      <c r="F221" s="3">
        <v>43280</v>
      </c>
      <c r="H221" t="inlineStr">
        <is>
          <t>pCODR 10139</t>
        </is>
      </c>
      <c r="J221" t="inlineStr">
        <is>
          <t>Lymphoma</t>
        </is>
      </c>
      <c r="K221" t="inlineStr">
        <is>
          <t>For the treatment of patients with relapsed or refractory PTCL</t>
        </is>
      </c>
      <c r="L221" t="inlineStr">
        <is>
          <t>Yes</t>
        </is>
      </c>
      <c r="N221" t="inlineStr">
        <is>
          <t>Servier Canada Inc.</t>
        </is>
      </c>
      <c r="O221" t="inlineStr">
        <is>
          <t>Servier Canada Inc.</t>
        </is>
      </c>
      <c r="P221" s="3">
        <v>43290</v>
      </c>
      <c r="Q221" t="inlineStr">
        <is>
          <t>New Drug</t>
        </is>
      </c>
      <c r="R221" t="inlineStr">
        <is>
          <t>Not Requested</t>
        </is>
      </c>
      <c r="Z221" t="inlineStr">
        <is>
          <t>Servier Canada Inc. has notified pCODR that the Category 2 submission requirements for the pre NOC submission of Belinostat (Beleodaq) for Peripheral T-Cell Lymphoma (PTCL) cannot be met at this time. As per pCODR Procedures C3.1.6, the pCODR program has stopped the review.</t>
        </is>
      </c>
    </row>
    <row r="222">
      <c r="A222" s="2">
        <f>HYPERLINK("https://www.cadth.ca/mvasi-metastatic-colorectal-cancer-non-small-cell-lung-cancer-biosimilar-details", "Mvasi")</f>
        <v>0</v>
      </c>
      <c r="B222" t="inlineStr">
        <is>
          <t>Bevacizumab</t>
        </is>
      </c>
      <c r="C222" t="inlineStr">
        <is>
          <t>Gastrointestinal / Lung Metastatic Colorectal Cancer / Non-Small Cell Lung Cancer Biosimilar</t>
        </is>
      </c>
      <c r="E222" t="inlineStr">
        <is>
          <t>Final Biosimilar Dossier Issued</t>
        </is>
      </c>
      <c r="F222" s="3">
        <v>43376</v>
      </c>
      <c r="H222" t="inlineStr">
        <is>
          <t>pCODR 10158</t>
        </is>
      </c>
      <c r="I222" t="inlineStr">
        <is>
          <t>100 mg and 400 mg</t>
        </is>
      </c>
      <c r="J222" t="inlineStr">
        <is>
          <t>Gastrointestinal / Lung</t>
        </is>
      </c>
      <c r="K222" t="inlineStr">
        <is>
          <t>For first-line treatment of patients with metastatic carcinoma of the colon or rectum, in combination with fluoropyrimidine based chemotherapy / For treatment of patients with unresectable advanced, metastatic or recurrent non-squamous non-small cell lung cancer, in combination with carboplatin/paclitaxel chemotherapy regimen</t>
        </is>
      </c>
      <c r="L222" t="inlineStr">
        <is>
          <t>No</t>
        </is>
      </c>
      <c r="M222" s="3">
        <v>43220</v>
      </c>
      <c r="N222" t="inlineStr">
        <is>
          <t>Amgen Canada Inc.</t>
        </is>
      </c>
      <c r="O222" t="inlineStr">
        <is>
          <t>Amgen Canada Inc.</t>
        </is>
      </c>
      <c r="P222" s="3">
        <v>43391</v>
      </c>
      <c r="Q222" t="inlineStr">
        <is>
          <t>Biosimilar – New Drug</t>
        </is>
      </c>
    </row>
    <row r="223">
      <c r="A223" s="2">
        <f>HYPERLINK("https://www.cadth.ca/apalutamide-erleada-metastatic-castration-sensitive-prostate-cancer-details", "Erleada")</f>
        <v>0</v>
      </c>
      <c r="B223" t="inlineStr">
        <is>
          <t>Apalutamide</t>
        </is>
      </c>
      <c r="C223" t="inlineStr">
        <is>
          <t>Genitourinary Metastatic Castration-Sensitive Prostate Cancer</t>
        </is>
      </c>
      <c r="E223" t="inlineStr">
        <is>
          <t>Notification to Implement Issued</t>
        </is>
      </c>
      <c r="F223" s="3">
        <v>43753</v>
      </c>
      <c r="G223" s="3">
        <v>43943</v>
      </c>
      <c r="H223" t="inlineStr">
        <is>
          <t>pCODR 10200</t>
        </is>
      </c>
      <c r="I223" t="inlineStr">
        <is>
          <t>60 mg</t>
        </is>
      </c>
      <c r="J223" t="inlineStr">
        <is>
          <t>Genitourinary</t>
        </is>
      </c>
      <c r="K223" t="inlineStr">
        <is>
          <t>For the treatment of metastatic castration-sensitive prostate cancer (mCSPC)</t>
        </is>
      </c>
      <c r="L223" t="inlineStr">
        <is>
          <t>Yes</t>
        </is>
      </c>
      <c r="M223" s="3">
        <v>43811</v>
      </c>
      <c r="N223" t="inlineStr">
        <is>
          <t>Janssen Inc.</t>
        </is>
      </c>
      <c r="O223" t="inlineStr">
        <is>
          <t>Janssen Inc.</t>
        </is>
      </c>
      <c r="P223" s="3">
        <v>43767</v>
      </c>
      <c r="Q223" t="inlineStr">
        <is>
          <t>New Indication</t>
        </is>
      </c>
      <c r="T223" s="3">
        <v>43816</v>
      </c>
      <c r="U223" s="3">
        <v>43909</v>
      </c>
      <c r="Y223" s="3">
        <v>43958</v>
      </c>
    </row>
    <row r="224">
      <c r="A224" s="2">
        <f>HYPERLINK("https://www.cadth.ca/butoconazole-nitrate-4", "Gynazole.1")</f>
        <v>0</v>
      </c>
      <c r="B224" t="inlineStr">
        <is>
          <t>Butoconazole nitrate</t>
        </is>
      </c>
      <c r="C224" t="inlineStr">
        <is>
          <t>Vaginal infection</t>
        </is>
      </c>
      <c r="D224" t="inlineStr">
        <is>
          <t>Do not list</t>
        </is>
      </c>
      <c r="E224" t="inlineStr">
        <is>
          <t>Complete</t>
        </is>
      </c>
      <c r="F224" s="3">
        <v>38168</v>
      </c>
      <c r="G224" s="3">
        <v>38378</v>
      </c>
      <c r="H224" t="inlineStr">
        <is>
          <t>S0017</t>
        </is>
      </c>
      <c r="N224" t="inlineStr">
        <is>
          <t>Ferring Pharmaceuticals</t>
        </is>
      </c>
      <c r="Q224" t="inlineStr">
        <is>
          <t>Initial</t>
        </is>
      </c>
    </row>
    <row r="225">
      <c r="A225" s="2">
        <f>HYPERLINK("https://www.cadth.ca/insulin-aspartinsulin-aspart-protamine-6", "NovoMix 30")</f>
        <v>0</v>
      </c>
      <c r="B225" t="inlineStr">
        <is>
          <t>Insulin aspart/insulin aspart protamine</t>
        </is>
      </c>
      <c r="C225" t="inlineStr">
        <is>
          <t>Diabetes mellitus</t>
        </is>
      </c>
      <c r="D225" t="inlineStr">
        <is>
          <t>Do not list</t>
        </is>
      </c>
      <c r="E225" t="inlineStr">
        <is>
          <t>Complete</t>
        </is>
      </c>
      <c r="F225" s="3">
        <v>38638</v>
      </c>
      <c r="G225" s="3">
        <v>38833</v>
      </c>
      <c r="H225" t="inlineStr">
        <is>
          <t>S0041</t>
        </is>
      </c>
      <c r="N225" t="inlineStr">
        <is>
          <t>Novo Nordisk Canada Inc.</t>
        </is>
      </c>
      <c r="Q225" t="inlineStr">
        <is>
          <t>Initial</t>
        </is>
      </c>
    </row>
    <row r="226">
      <c r="A226" s="2">
        <f>HYPERLINK("https://www.cadth.ca/alendronate-sodium-cholecalciferol-6", "Fosavance 70/5600")</f>
        <v>0</v>
      </c>
      <c r="B226" t="inlineStr">
        <is>
          <t>Alendronate sodium / cholecalciferol</t>
        </is>
      </c>
      <c r="C226" t="inlineStr">
        <is>
          <t>Osteoporosis</t>
        </is>
      </c>
      <c r="D226" t="inlineStr">
        <is>
          <t>List in a similar manner to other drugs in class</t>
        </is>
      </c>
      <c r="E226" t="inlineStr">
        <is>
          <t>Complete</t>
        </is>
      </c>
      <c r="F226" s="3">
        <v>39800</v>
      </c>
      <c r="G226" s="3">
        <v>39981</v>
      </c>
      <c r="H226" t="inlineStr">
        <is>
          <t>S0153</t>
        </is>
      </c>
      <c r="N226" t="inlineStr">
        <is>
          <t>Merck Frosst Canda Ltd.</t>
        </is>
      </c>
      <c r="Q226" t="inlineStr">
        <is>
          <t>Initial</t>
        </is>
      </c>
    </row>
    <row r="227">
      <c r="A227" s="2">
        <f>HYPERLINK("https://www.cadth.ca/aripiprazole-25", "Abilify")</f>
        <v>0</v>
      </c>
      <c r="B227" t="inlineStr">
        <is>
          <t>Aripiprazole</t>
        </is>
      </c>
      <c r="C227" t="inlineStr">
        <is>
          <t>Schizophrenia</t>
        </is>
      </c>
      <c r="D227" t="inlineStr">
        <is>
          <t>Do not list</t>
        </is>
      </c>
      <c r="E227" t="inlineStr">
        <is>
          <t>Complete</t>
        </is>
      </c>
      <c r="F227" s="3">
        <v>40123</v>
      </c>
      <c r="G227" s="3">
        <v>40295</v>
      </c>
      <c r="H227" t="inlineStr">
        <is>
          <t>S0183</t>
        </is>
      </c>
      <c r="N227" t="inlineStr">
        <is>
          <t>Bristol-Myers Squibb Canada</t>
        </is>
      </c>
      <c r="Q227" t="inlineStr">
        <is>
          <t>Initial</t>
        </is>
      </c>
    </row>
    <row r="228">
      <c r="A228" s="2">
        <f>HYPERLINK("https://www.cadth.ca/aripiprazole-26", "Abilify")</f>
        <v>0</v>
      </c>
      <c r="B228" t="inlineStr">
        <is>
          <t>Aripiprazole</t>
        </is>
      </c>
      <c r="C228" t="inlineStr">
        <is>
          <t>Schizophrenia and Related Psychotic Disorders</t>
        </is>
      </c>
      <c r="D228" t="inlineStr">
        <is>
          <t>List with clinical criteria and/or conditions</t>
        </is>
      </c>
      <c r="E228" t="inlineStr">
        <is>
          <t>Complete</t>
        </is>
      </c>
      <c r="F228" s="3">
        <v>40631</v>
      </c>
      <c r="G228" s="3">
        <v>40742</v>
      </c>
      <c r="H228" t="inlineStr">
        <is>
          <t>S0226</t>
        </is>
      </c>
      <c r="N228" t="inlineStr">
        <is>
          <t>Bristol-Myers Squibb</t>
        </is>
      </c>
      <c r="Q228" t="inlineStr">
        <is>
          <t>Request For Advice</t>
        </is>
      </c>
    </row>
    <row r="229">
      <c r="A229" s="2">
        <f>HYPERLINK("https://www.cadth.ca/aripiprazole-27", "Abilify")</f>
        <v>0</v>
      </c>
      <c r="B229" t="inlineStr">
        <is>
          <t>Aripiprazole</t>
        </is>
      </c>
      <c r="C229" t="inlineStr">
        <is>
          <t>Depression, Major Depressive Disorder (MDD)</t>
        </is>
      </c>
      <c r="D229" t="inlineStr">
        <is>
          <t>Do not list</t>
        </is>
      </c>
      <c r="E229" t="inlineStr">
        <is>
          <t>Complete</t>
        </is>
      </c>
      <c r="F229" s="3">
        <v>41548</v>
      </c>
      <c r="G229" s="3">
        <v>41934</v>
      </c>
      <c r="H229" t="inlineStr">
        <is>
          <t>SR0354</t>
        </is>
      </c>
      <c r="N229" t="inlineStr">
        <is>
          <t>Bristol-Myers Squibb Canada</t>
        </is>
      </c>
      <c r="Q229" t="inlineStr">
        <is>
          <t>Initial</t>
        </is>
      </c>
    </row>
    <row r="230">
      <c r="A230" s="2">
        <f>HYPERLINK("https://www.cadth.ca/aripiprazole-28", "Abilify Maintena")</f>
        <v>0</v>
      </c>
      <c r="B230" t="inlineStr">
        <is>
          <t>Aripiprazole</t>
        </is>
      </c>
      <c r="C230" t="inlineStr">
        <is>
          <t>Schizophrenia</t>
        </is>
      </c>
      <c r="D230" t="inlineStr">
        <is>
          <t>List with criteria/condition</t>
        </is>
      </c>
      <c r="E230" t="inlineStr">
        <is>
          <t>Complete</t>
        </is>
      </c>
      <c r="F230" s="3">
        <v>41645</v>
      </c>
      <c r="G230" s="3">
        <v>41992</v>
      </c>
      <c r="H230" t="inlineStr">
        <is>
          <t>SR0366-000</t>
        </is>
      </c>
      <c r="N230" t="inlineStr">
        <is>
          <t>Otsuka Canada Pharmaceutical Inc. &amp; Lundbeck Canada Inc.</t>
        </is>
      </c>
      <c r="Q230" t="inlineStr">
        <is>
          <t>Initial</t>
        </is>
      </c>
    </row>
    <row r="231">
      <c r="A231" s="2">
        <f>HYPERLINK("https://www.cadth.ca/fentanyl-citrate-S0240", "Abstral")</f>
        <v>0</v>
      </c>
      <c r="B231" t="inlineStr">
        <is>
          <t>Fentanyl citrate</t>
        </is>
      </c>
      <c r="C231" t="inlineStr">
        <is>
          <t>Pain, Cancer (breakthrough)</t>
        </is>
      </c>
      <c r="D231" t="inlineStr">
        <is>
          <t>Do not list</t>
        </is>
      </c>
      <c r="E231" t="inlineStr">
        <is>
          <t>Complete</t>
        </is>
      </c>
      <c r="F231" s="3">
        <v>40724</v>
      </c>
      <c r="G231" s="3">
        <v>40893</v>
      </c>
      <c r="H231" t="inlineStr">
        <is>
          <t>S0240</t>
        </is>
      </c>
      <c r="N231" t="inlineStr">
        <is>
          <t>Paladin Labs Inc.</t>
        </is>
      </c>
      <c r="Q231" t="inlineStr">
        <is>
          <t>Initial</t>
        </is>
      </c>
    </row>
    <row r="232">
      <c r="A232" s="2">
        <f>HYPERLINK("https://www.cadth.ca/zoledronic-acid-14", "Aclasta")</f>
        <v>0</v>
      </c>
      <c r="B232" t="inlineStr">
        <is>
          <t>Zoledronic acid</t>
        </is>
      </c>
      <c r="C232" t="inlineStr">
        <is>
          <t>Osteoporosis (postmenopausal women)</t>
        </is>
      </c>
      <c r="D232" t="inlineStr">
        <is>
          <t>List with clinical criteria and/or conditions</t>
        </is>
      </c>
      <c r="E232" t="inlineStr">
        <is>
          <t>Complete</t>
        </is>
      </c>
      <c r="F232" s="3">
        <v>40744</v>
      </c>
      <c r="G232" s="3">
        <v>40863</v>
      </c>
      <c r="H232" t="inlineStr">
        <is>
          <t>S0242</t>
        </is>
      </c>
      <c r="N232" t="inlineStr">
        <is>
          <t>Novartis Pharmaceuticals Canada Inc.</t>
        </is>
      </c>
      <c r="Q232" t="inlineStr">
        <is>
          <t>Request For Advice</t>
        </is>
      </c>
    </row>
    <row r="233">
      <c r="A233" s="2">
        <f>HYPERLINK("https://www.cadth.ca/zoledronic-acid-13", "Aclasta")</f>
        <v>0</v>
      </c>
      <c r="B233" t="inlineStr">
        <is>
          <t>Zoledronic acid</t>
        </is>
      </c>
      <c r="C233" t="inlineStr">
        <is>
          <t>Osteoporosis, postmenopausal women</t>
        </is>
      </c>
      <c r="D233" t="inlineStr">
        <is>
          <t>List with clinical criteria and/or conditions</t>
        </is>
      </c>
      <c r="E233" t="inlineStr">
        <is>
          <t>Complete</t>
        </is>
      </c>
      <c r="F233" s="3">
        <v>39415</v>
      </c>
      <c r="G233" s="3">
        <v>39624</v>
      </c>
      <c r="H233" t="inlineStr">
        <is>
          <t>S0114</t>
        </is>
      </c>
      <c r="N233" t="inlineStr">
        <is>
          <t>Novartis Pharmaceuticals Canada Inc.</t>
        </is>
      </c>
      <c r="Q233" t="inlineStr">
        <is>
          <t>Initial</t>
        </is>
      </c>
    </row>
    <row r="234">
      <c r="A234" s="2">
        <f>HYPERLINK("https://www.cadth.ca/tocilizumab-27", "Actemra")</f>
        <v>0</v>
      </c>
      <c r="B234" t="inlineStr">
        <is>
          <t>Tocilizumab</t>
        </is>
      </c>
      <c r="C234" t="inlineStr">
        <is>
          <t>Polyarticular juvenile idiopathic arthritis</t>
        </is>
      </c>
      <c r="D234" t="inlineStr">
        <is>
          <t>List with criteria/condition</t>
        </is>
      </c>
      <c r="E234" t="inlineStr">
        <is>
          <t>Complete</t>
        </is>
      </c>
      <c r="F234" s="3">
        <v>41484</v>
      </c>
      <c r="G234" s="3">
        <v>41717</v>
      </c>
      <c r="H234" t="inlineStr">
        <is>
          <t>SR0343</t>
        </is>
      </c>
      <c r="N234" t="inlineStr">
        <is>
          <t>Hoffmann-La Roche Limited</t>
        </is>
      </c>
      <c r="Q234" t="inlineStr">
        <is>
          <t>New Indication</t>
        </is>
      </c>
    </row>
    <row r="235">
      <c r="A235" s="2">
        <f>HYPERLINK("https://www.cadth.ca/tocilizumab-26", "Actemra")</f>
        <v>0</v>
      </c>
      <c r="B235" t="inlineStr">
        <is>
          <t>Tocilizumab</t>
        </is>
      </c>
      <c r="C235" t="inlineStr">
        <is>
          <t>Arthritis, juvenile idiopathic</t>
        </is>
      </c>
      <c r="D235" t="inlineStr">
        <is>
          <t>List with clinical criteria and/or conditions</t>
        </is>
      </c>
      <c r="E235" t="inlineStr">
        <is>
          <t>Complete</t>
        </is>
      </c>
      <c r="F235" s="3">
        <v>40938</v>
      </c>
      <c r="G235" s="3">
        <v>41109</v>
      </c>
      <c r="H235" t="inlineStr">
        <is>
          <t>S0267</t>
        </is>
      </c>
      <c r="N235" t="inlineStr">
        <is>
          <t>Hoffman-La Roche Ltd.</t>
        </is>
      </c>
      <c r="Q235" t="inlineStr">
        <is>
          <t>New Indication</t>
        </is>
      </c>
    </row>
    <row r="236">
      <c r="A236" s="2">
        <f>HYPERLINK("https://www.cadth.ca/tocilizumab-25", "Actemra")</f>
        <v>0</v>
      </c>
      <c r="B236" t="inlineStr">
        <is>
          <t>Tocilizumab</t>
        </is>
      </c>
      <c r="C236" t="inlineStr">
        <is>
          <t>Arthritis, Rheumatoid</t>
        </is>
      </c>
      <c r="D236" t="inlineStr">
        <is>
          <t>List with clinical criteria and/or conditions</t>
        </is>
      </c>
      <c r="E236" t="inlineStr">
        <is>
          <t>Complete</t>
        </is>
      </c>
      <c r="F236" s="3">
        <v>40325</v>
      </c>
      <c r="G236" s="3">
        <v>40499</v>
      </c>
      <c r="H236" t="inlineStr">
        <is>
          <t>S0201</t>
        </is>
      </c>
      <c r="N236" t="inlineStr">
        <is>
          <t>Hoffmann-La Roche Limited</t>
        </is>
      </c>
      <c r="Q236" t="inlineStr">
        <is>
          <t>Initial</t>
        </is>
      </c>
    </row>
    <row r="237">
      <c r="A237" s="2">
        <f>HYPERLINK("https://www.cadth.ca/tocilizumab-28", "Actemra")</f>
        <v>0</v>
      </c>
      <c r="B237" t="inlineStr">
        <is>
          <t>Tocilizumab</t>
        </is>
      </c>
      <c r="C237" t="inlineStr">
        <is>
          <t>Arthritis, Rheumatoid</t>
        </is>
      </c>
      <c r="D237" t="inlineStr">
        <is>
          <t>List with criteria/condition</t>
        </is>
      </c>
      <c r="E237" t="inlineStr">
        <is>
          <t>Complete</t>
        </is>
      </c>
      <c r="F237" s="3">
        <v>41701</v>
      </c>
      <c r="G237" s="3">
        <v>42054</v>
      </c>
      <c r="H237" t="inlineStr">
        <is>
          <t>SR0374-000</t>
        </is>
      </c>
      <c r="N237" t="inlineStr">
        <is>
          <t>Hoffmann-La Roche Limited</t>
        </is>
      </c>
      <c r="Q237" t="inlineStr">
        <is>
          <t>Pre-NOC</t>
        </is>
      </c>
    </row>
    <row r="238">
      <c r="A238" s="2">
        <f>HYPERLINK("https://www.cadth.ca/tocilizumab-29", "Actemra")</f>
        <v>0</v>
      </c>
      <c r="B238" t="inlineStr">
        <is>
          <t>tocilizumab</t>
        </is>
      </c>
      <c r="C238" t="inlineStr">
        <is>
          <t>Giant cell arteritis (GCA)</t>
        </is>
      </c>
      <c r="D238" t="inlineStr">
        <is>
          <t>Reimburse with clinical criteria and/or conditions</t>
        </is>
      </c>
      <c r="E238" t="inlineStr">
        <is>
          <t>Complete</t>
        </is>
      </c>
      <c r="F238" s="3">
        <v>43003</v>
      </c>
      <c r="G238" s="3">
        <v>43186</v>
      </c>
      <c r="H238" t="inlineStr">
        <is>
          <t>SR0534-000</t>
        </is>
      </c>
      <c r="N238" t="inlineStr">
        <is>
          <t>Hoffmann-La Roche Limited</t>
        </is>
      </c>
      <c r="Q238" t="inlineStr">
        <is>
          <t>New Indication</t>
        </is>
      </c>
    </row>
    <row r="239">
      <c r="A239" s="2">
        <f>HYPERLINK("https://www.cadth.ca/fluorouracil-and-salicylic-acid", "Actikerall")</f>
        <v>0</v>
      </c>
      <c r="B239" t="inlineStr">
        <is>
          <t>Fluorouracil and Salicylic Acid</t>
        </is>
      </c>
      <c r="C239" t="inlineStr">
        <is>
          <t>Hyperkeratotic actinic keratosis</t>
        </is>
      </c>
      <c r="D239" t="inlineStr">
        <is>
          <t>Reimburse with clinical criteria and/or conditions</t>
        </is>
      </c>
      <c r="E239" t="inlineStr">
        <is>
          <t>Complete</t>
        </is>
      </c>
      <c r="F239" s="3">
        <v>42613</v>
      </c>
      <c r="G239" s="3">
        <v>42816</v>
      </c>
      <c r="H239" t="inlineStr">
        <is>
          <t>SR0498</t>
        </is>
      </c>
      <c r="N239" t="inlineStr">
        <is>
          <t>Cipher Pharmaceuticals Inc.</t>
        </is>
      </c>
      <c r="Q239" t="inlineStr">
        <is>
          <t>Initial</t>
        </is>
      </c>
    </row>
    <row r="240">
      <c r="A240" s="2">
        <f>HYPERLINK("https://www.cadth.ca/tadalafil-6", "Adcirca")</f>
        <v>0</v>
      </c>
      <c r="B240" t="inlineStr">
        <is>
          <t>Tadalafil</t>
        </is>
      </c>
      <c r="C240" t="inlineStr">
        <is>
          <t>Pulmonary arterial hypertension</t>
        </is>
      </c>
      <c r="D240" t="inlineStr">
        <is>
          <t>List with clinical criteria and/or conditions</t>
        </is>
      </c>
      <c r="E240" t="inlineStr">
        <is>
          <t>Complete</t>
        </is>
      </c>
      <c r="F240" s="3">
        <v>40214</v>
      </c>
      <c r="G240" s="3">
        <v>40374</v>
      </c>
      <c r="H240" t="inlineStr">
        <is>
          <t>S0197</t>
        </is>
      </c>
      <c r="N240" t="inlineStr">
        <is>
          <t>Eli Lilly Canada Inc.</t>
        </is>
      </c>
      <c r="Q240" t="inlineStr">
        <is>
          <t>Initial</t>
        </is>
      </c>
    </row>
    <row r="241">
      <c r="A241" s="2">
        <f>HYPERLINK("https://www.cadth.ca/mixed-amphetamine-salts-18", "Adderall XR")</f>
        <v>0</v>
      </c>
      <c r="B241" t="inlineStr">
        <is>
          <t>Mixed amphetamine salts</t>
        </is>
      </c>
      <c r="C241" t="inlineStr">
        <is>
          <t>Attention deficit hyperactivity disorder</t>
        </is>
      </c>
      <c r="E241" t="inlineStr">
        <is>
          <t>Withdrawn</t>
        </is>
      </c>
      <c r="F241" s="3">
        <v>38336</v>
      </c>
      <c r="H241" t="inlineStr">
        <is>
          <t>S0027</t>
        </is>
      </c>
      <c r="N241" t="inlineStr">
        <is>
          <t>Shire BioChem Inc.</t>
        </is>
      </c>
      <c r="Q241" t="inlineStr">
        <is>
          <t>Resubmission</t>
        </is>
      </c>
    </row>
    <row r="242">
      <c r="A242" s="2">
        <f>HYPERLINK("https://www.cadth.ca/mixed-amphetamine-salts-15", "Adderall XR")</f>
        <v>0</v>
      </c>
      <c r="B242" t="inlineStr">
        <is>
          <t>Mixed amphetamine salts</t>
        </is>
      </c>
      <c r="C242" t="inlineStr">
        <is>
          <t>Attention deficit hyperactivity disorder</t>
        </is>
      </c>
      <c r="D242" t="inlineStr">
        <is>
          <t>Do not list</t>
        </is>
      </c>
      <c r="E242" t="inlineStr">
        <is>
          <t>Complete</t>
        </is>
      </c>
      <c r="F242" s="3">
        <v>38090</v>
      </c>
      <c r="G242" s="3">
        <v>38315</v>
      </c>
      <c r="H242" t="inlineStr">
        <is>
          <t>S0010</t>
        </is>
      </c>
      <c r="N242" t="inlineStr">
        <is>
          <t>Shire BioChem Inc.</t>
        </is>
      </c>
      <c r="Q242" t="inlineStr">
        <is>
          <t>Initial</t>
        </is>
      </c>
    </row>
    <row r="243">
      <c r="A243" s="2">
        <f>HYPERLINK("https://www.cadth.ca/mixed-amphetamine-salts-19", "Adderall XR")</f>
        <v>0</v>
      </c>
      <c r="B243" t="inlineStr">
        <is>
          <t>Mixed amphetamine salts</t>
        </is>
      </c>
      <c r="C243" t="inlineStr">
        <is>
          <t>Attention deficit hyperactivity disorder, Adult</t>
        </is>
      </c>
      <c r="D243" t="inlineStr">
        <is>
          <t>Do not list</t>
        </is>
      </c>
      <c r="E243" t="inlineStr">
        <is>
          <t>Complete</t>
        </is>
      </c>
      <c r="F243" s="3">
        <v>39415</v>
      </c>
      <c r="G243" s="3">
        <v>39624</v>
      </c>
      <c r="H243" t="inlineStr">
        <is>
          <t>S0116</t>
        </is>
      </c>
      <c r="N243" t="inlineStr">
        <is>
          <t>Shire Canada Inc.</t>
        </is>
      </c>
      <c r="Q243" t="inlineStr">
        <is>
          <t>New Indication</t>
        </is>
      </c>
    </row>
    <row r="244">
      <c r="A244" s="2">
        <f>HYPERLINK("https://www.cadth.ca/riociguat-6", "Adempas")</f>
        <v>0</v>
      </c>
      <c r="B244" t="inlineStr">
        <is>
          <t>Riociguat</t>
        </is>
      </c>
      <c r="C244" t="inlineStr">
        <is>
          <t>Pulmonary hypertension, chronic thromboembolic</t>
        </is>
      </c>
      <c r="D244" t="inlineStr">
        <is>
          <t>List with criteria/condition</t>
        </is>
      </c>
      <c r="E244" t="inlineStr">
        <is>
          <t>Complete</t>
        </is>
      </c>
      <c r="F244" s="3">
        <v>41547</v>
      </c>
      <c r="G244" s="3">
        <v>41837</v>
      </c>
      <c r="H244" t="inlineStr">
        <is>
          <t>SR0353</t>
        </is>
      </c>
      <c r="N244" t="inlineStr">
        <is>
          <t>Bayer Inc.</t>
        </is>
      </c>
      <c r="Q244" t="inlineStr">
        <is>
          <t>Initial</t>
        </is>
      </c>
    </row>
    <row r="245">
      <c r="A245" s="2">
        <f>HYPERLINK("https://www.cadth.ca/riociguat-7", "Adempas")</f>
        <v>0</v>
      </c>
      <c r="B245" t="inlineStr">
        <is>
          <t>Riociguat</t>
        </is>
      </c>
      <c r="C245" t="inlineStr">
        <is>
          <t>Pulmonary arterial hypertension (WHO group 1)</t>
        </is>
      </c>
      <c r="D245" t="inlineStr">
        <is>
          <t>List with clinical criteria and/or conditions</t>
        </is>
      </c>
      <c r="E245" t="inlineStr">
        <is>
          <t>Complete</t>
        </is>
      </c>
      <c r="F245" s="3">
        <v>42180</v>
      </c>
      <c r="G245" s="3">
        <v>42355</v>
      </c>
      <c r="H245" t="inlineStr">
        <is>
          <t>SR0438-000</t>
        </is>
      </c>
      <c r="N245" t="inlineStr">
        <is>
          <t>Bayer Inc.</t>
        </is>
      </c>
      <c r="Q245" t="inlineStr">
        <is>
          <t>New Indication</t>
        </is>
      </c>
    </row>
    <row r="246">
      <c r="A246" s="2">
        <f>HYPERLINK("https://www.cadth.ca/lixisenatide", "Adlyxine")</f>
        <v>0</v>
      </c>
      <c r="B246" t="inlineStr">
        <is>
          <t>lixisenatide</t>
        </is>
      </c>
      <c r="C246" t="inlineStr">
        <is>
          <t>Diabetes mellitus, Type 2</t>
        </is>
      </c>
      <c r="D246" t="inlineStr">
        <is>
          <t>Reimburse with clinical criteria and/or conditions</t>
        </is>
      </c>
      <c r="E246" t="inlineStr">
        <is>
          <t>Complete</t>
        </is>
      </c>
      <c r="F246" s="3">
        <v>42884</v>
      </c>
      <c r="G246" s="3">
        <v>43062</v>
      </c>
      <c r="H246" t="inlineStr">
        <is>
          <t>SR0520-000</t>
        </is>
      </c>
      <c r="N246" t="inlineStr">
        <is>
          <t>Sanofi-aventis Canada Inc.</t>
        </is>
      </c>
      <c r="Q246" t="inlineStr">
        <is>
          <t>Initial</t>
        </is>
      </c>
    </row>
    <row r="247">
      <c r="A247" s="2">
        <f>HYPERLINK("https://www.cadth.ca/insulin-lispro", "Admelog")</f>
        <v>0</v>
      </c>
      <c r="B247" t="inlineStr">
        <is>
          <t>Insulin lispro</t>
        </is>
      </c>
      <c r="C247" t="inlineStr">
        <is>
          <t>Diabetes mellitus, Type 1 &amp; 2</t>
        </is>
      </c>
      <c r="E247" t="inlineStr">
        <is>
          <t>Cancelled</t>
        </is>
      </c>
      <c r="H247" t="inlineStr">
        <is>
          <t>SE0543-000</t>
        </is>
      </c>
      <c r="N247" t="inlineStr">
        <is>
          <t>sanofi-aventis Canada Inc.</t>
        </is>
      </c>
      <c r="Q247" t="inlineStr">
        <is>
          <t>Initial</t>
        </is>
      </c>
    </row>
    <row r="248">
      <c r="A248" s="2">
        <f>HYPERLINK("https://www.cadth.ca/niacinlovastatin-6", "Advicor")</f>
        <v>0</v>
      </c>
      <c r="B248" t="inlineStr">
        <is>
          <t>Niacin/lovastatin</t>
        </is>
      </c>
      <c r="C248" t="inlineStr">
        <is>
          <t>Hypercholesterolemia and mixed dyslipidemia</t>
        </is>
      </c>
      <c r="D248" t="inlineStr">
        <is>
          <t>List</t>
        </is>
      </c>
      <c r="E248" t="inlineStr">
        <is>
          <t>Complete</t>
        </is>
      </c>
      <c r="F248" s="3">
        <v>38643</v>
      </c>
      <c r="G248" s="3">
        <v>38833</v>
      </c>
      <c r="H248" t="inlineStr">
        <is>
          <t>S0042</t>
        </is>
      </c>
      <c r="N248" t="inlineStr">
        <is>
          <t>Oryx Pharmaceuticals Inc.</t>
        </is>
      </c>
      <c r="Q248" t="inlineStr">
        <is>
          <t>Initial</t>
        </is>
      </c>
    </row>
    <row r="249">
      <c r="A249" s="2">
        <f>HYPERLINK("https://www.cadth.ca/fluticasone-propionate", "Aermony RespiClick")</f>
        <v>0</v>
      </c>
      <c r="B249" t="inlineStr">
        <is>
          <t>fluticasone propionate</t>
        </is>
      </c>
      <c r="C249" t="inlineStr">
        <is>
          <t>Asthma</t>
        </is>
      </c>
      <c r="D249" t="inlineStr">
        <is>
          <t>Reimburse with clinical criteria and/or conditions</t>
        </is>
      </c>
      <c r="E249" t="inlineStr">
        <is>
          <t>Complete</t>
        </is>
      </c>
      <c r="F249" s="3">
        <v>43012</v>
      </c>
      <c r="G249" s="3">
        <v>43453</v>
      </c>
      <c r="H249" t="inlineStr">
        <is>
          <t>SR0539-000</t>
        </is>
      </c>
      <c r="N249" t="inlineStr">
        <is>
          <t>TEVA Canada Innovation</t>
        </is>
      </c>
      <c r="Q249" t="inlineStr">
        <is>
          <t>Initial</t>
        </is>
      </c>
    </row>
    <row r="250">
      <c r="A250" s="2">
        <f>HYPERLINK("https://www.cadth.ca/mometasone-furoate-and-formoterol-6", "Zenhale (inhalation aerosol)")</f>
        <v>0</v>
      </c>
      <c r="B250" t="inlineStr">
        <is>
          <t>Mometasone furoate and formoterol</t>
        </is>
      </c>
      <c r="C250" t="inlineStr">
        <is>
          <t>Asthma maintenance (adults,  children 12 or older)</t>
        </is>
      </c>
      <c r="D250" t="inlineStr">
        <is>
          <t>Do not list</t>
        </is>
      </c>
      <c r="E250" t="inlineStr">
        <is>
          <t>Complete</t>
        </is>
      </c>
      <c r="F250" s="3">
        <v>40590</v>
      </c>
      <c r="G250" s="3">
        <v>40814</v>
      </c>
      <c r="H250" t="inlineStr">
        <is>
          <t>S0225</t>
        </is>
      </c>
      <c r="N250" t="inlineStr">
        <is>
          <t>Merck Canada</t>
        </is>
      </c>
      <c r="Q250" t="inlineStr">
        <is>
          <t>Initial</t>
        </is>
      </c>
    </row>
    <row r="251">
      <c r="A251" s="2">
        <f>HYPERLINK("https://www.cadth.ca/everolimus-12", "Afinitor")</f>
        <v>0</v>
      </c>
      <c r="B251" t="inlineStr">
        <is>
          <t>Everolimus</t>
        </is>
      </c>
      <c r="C251" t="inlineStr">
        <is>
          <t>Subependymal giant cell astrocytoma associated with tuberous sclerosis complex</t>
        </is>
      </c>
      <c r="D251" t="inlineStr">
        <is>
          <t>Do not list</t>
        </is>
      </c>
      <c r="E251" t="inlineStr">
        <is>
          <t>Complete</t>
        </is>
      </c>
      <c r="F251" s="3">
        <v>41717</v>
      </c>
      <c r="G251" s="3">
        <v>42109</v>
      </c>
      <c r="H251" t="inlineStr">
        <is>
          <t>SR0376-000</t>
        </is>
      </c>
      <c r="N251" t="inlineStr">
        <is>
          <t>Novartis Pharmaceuticals Canada Inc.</t>
        </is>
      </c>
      <c r="Q251" t="inlineStr">
        <is>
          <t>New Indication</t>
        </is>
      </c>
    </row>
    <row r="252">
      <c r="A252" s="2">
        <f>HYPERLINK("https://www.cadth.ca/everolimus-11", "Afinitor")</f>
        <v>0</v>
      </c>
      <c r="B252" t="inlineStr">
        <is>
          <t>Everolimus</t>
        </is>
      </c>
      <c r="C252" t="inlineStr">
        <is>
          <t>renal angiomyolipoma associated with tuberous sclerosis complex (TSC)</t>
        </is>
      </c>
      <c r="D252" t="inlineStr">
        <is>
          <t>Do not list</t>
        </is>
      </c>
      <c r="E252" t="inlineStr">
        <is>
          <t>Complete</t>
        </is>
      </c>
      <c r="F252" s="3">
        <v>41341</v>
      </c>
      <c r="G252" s="3">
        <v>41542</v>
      </c>
      <c r="H252" t="inlineStr">
        <is>
          <t>SR0315-000</t>
        </is>
      </c>
      <c r="N252" t="inlineStr">
        <is>
          <t>Novartis Pharmaceuticals Canada Inc.</t>
        </is>
      </c>
      <c r="Q252" t="inlineStr">
        <is>
          <t>Initial</t>
        </is>
      </c>
    </row>
    <row r="253">
      <c r="A253" s="2">
        <f>HYPERLINK("https://www.cadth.ca/erenumab", "Aimovig")</f>
        <v>0</v>
      </c>
      <c r="B253" t="inlineStr">
        <is>
          <t>erenumab</t>
        </is>
      </c>
      <c r="C253" t="inlineStr">
        <is>
          <t>Migraine</t>
        </is>
      </c>
      <c r="D253" t="inlineStr">
        <is>
          <t>Reimburse with clinical criteria and/or conditions</t>
        </is>
      </c>
      <c r="E253" t="inlineStr">
        <is>
          <t>Complete</t>
        </is>
      </c>
      <c r="F253" s="3">
        <v>43587</v>
      </c>
      <c r="G253" s="3">
        <v>44034</v>
      </c>
      <c r="H253" t="inlineStr">
        <is>
          <t>SR0578-000</t>
        </is>
      </c>
      <c r="N253" t="inlineStr">
        <is>
          <t>Novartis Pharmaceuticals Canada Inc.</t>
        </is>
      </c>
      <c r="Q253" t="inlineStr">
        <is>
          <t>Initial</t>
        </is>
      </c>
    </row>
    <row r="254">
      <c r="A254" s="2">
        <f>HYPERLINK("https://www.cadth.ca/fremanezumab", "Ajovy")</f>
        <v>0</v>
      </c>
      <c r="B254" t="inlineStr">
        <is>
          <t>fremanezumab</t>
        </is>
      </c>
      <c r="C254" t="inlineStr">
        <is>
          <t>​Indicated for the prevention of migraine in adults who have at least 4 migraine days per month.</t>
        </is>
      </c>
      <c r="E254" t="inlineStr">
        <is>
          <t>Active</t>
        </is>
      </c>
      <c r="F254" s="3">
        <v>43985</v>
      </c>
      <c r="H254" t="inlineStr">
        <is>
          <t>SR0641-000</t>
        </is>
      </c>
      <c r="N254" t="inlineStr">
        <is>
          <t>Teva Canada Innovation</t>
        </is>
      </c>
      <c r="Q254" t="inlineStr">
        <is>
          <t>Initial</t>
        </is>
      </c>
    </row>
    <row r="255">
      <c r="A255" s="2">
        <f>HYPERLINK("https://www.cadth.ca/netupitant-palonosetron", "Akynzeo")</f>
        <v>0</v>
      </c>
      <c r="B255" t="inlineStr">
        <is>
          <t>netupitant / palonosetron</t>
        </is>
      </c>
      <c r="C255" t="inlineStr">
        <is>
          <t>Nausea and vomiting (chemotherapy induced) prevention</t>
        </is>
      </c>
      <c r="D255" t="inlineStr">
        <is>
          <t>Reimburse with clinical criteria and/or conditions</t>
        </is>
      </c>
      <c r="E255" t="inlineStr">
        <is>
          <t>Complete</t>
        </is>
      </c>
      <c r="F255" s="3">
        <v>43077</v>
      </c>
      <c r="G255" s="3">
        <v>43271</v>
      </c>
      <c r="H255" t="inlineStr">
        <is>
          <t>SR0548-000</t>
        </is>
      </c>
      <c r="N255" t="inlineStr">
        <is>
          <t>Purdue Pharma</t>
        </is>
      </c>
      <c r="Q255" t="inlineStr">
        <is>
          <t>New Combination</t>
        </is>
      </c>
    </row>
    <row r="256">
      <c r="A256" s="2">
        <f>HYPERLINK("https://www.cadth.ca/laronidase-4", "Aldurazyme")</f>
        <v>0</v>
      </c>
      <c r="B256" t="inlineStr">
        <is>
          <t>Laronidase</t>
        </is>
      </c>
      <c r="C256" t="inlineStr">
        <is>
          <t>Mucopolysaccharidosis 1 (MPS 1), Hurler, Hurler-Scheie, Scheie</t>
        </is>
      </c>
      <c r="D256" t="inlineStr">
        <is>
          <t>Do not list</t>
        </is>
      </c>
      <c r="E256" t="inlineStr">
        <is>
          <t>Complete</t>
        </is>
      </c>
      <c r="F256" s="3">
        <v>38386</v>
      </c>
      <c r="G256" s="3">
        <v>38547</v>
      </c>
      <c r="H256" t="inlineStr">
        <is>
          <t>S0032</t>
        </is>
      </c>
      <c r="N256" t="inlineStr">
        <is>
          <t>Genzyme Canada</t>
        </is>
      </c>
      <c r="Q256" t="inlineStr">
        <is>
          <t>Initial</t>
        </is>
      </c>
    </row>
    <row r="257">
      <c r="A257" s="2">
        <f>HYPERLINK("https://www.cadth.ca/palonosetron-hydrochloride-13", "Aloxi (injection)")</f>
        <v>0</v>
      </c>
      <c r="B257" t="inlineStr">
        <is>
          <t>Palonosetron hydrochloride</t>
        </is>
      </c>
      <c r="C257" t="inlineStr">
        <is>
          <t>Nausea and vomiting (chemotherapy induced) prevention</t>
        </is>
      </c>
      <c r="D257" t="inlineStr">
        <is>
          <t>Do not list at the submitted price</t>
        </is>
      </c>
      <c r="E257" t="inlineStr">
        <is>
          <t>Complete</t>
        </is>
      </c>
      <c r="F257" s="3">
        <v>41187</v>
      </c>
      <c r="G257" s="3">
        <v>41409</v>
      </c>
      <c r="H257" t="inlineStr">
        <is>
          <t>SR0293</t>
        </is>
      </c>
      <c r="N257" t="inlineStr">
        <is>
          <t>Eisai Ltd.</t>
        </is>
      </c>
      <c r="Q257" t="inlineStr">
        <is>
          <t>Initial</t>
        </is>
      </c>
    </row>
    <row r="258">
      <c r="A258" s="2">
        <f>HYPERLINK("https://www.cadth.ca/palonosetron-4", "Aloxi (capsule)")</f>
        <v>0</v>
      </c>
      <c r="B258" t="inlineStr">
        <is>
          <t>Palonosetron</t>
        </is>
      </c>
      <c r="C258" t="inlineStr">
        <is>
          <t>Nausea and vomiting (chemotherapy induced) prevention</t>
        </is>
      </c>
      <c r="E258" t="inlineStr">
        <is>
          <t>Withdrawn</t>
        </is>
      </c>
      <c r="F258" s="3">
        <v>42041</v>
      </c>
      <c r="H258" t="inlineStr">
        <is>
          <t>SR0415-000</t>
        </is>
      </c>
      <c r="N258" t="inlineStr">
        <is>
          <t>Eisai Limited</t>
        </is>
      </c>
      <c r="Q258" t="inlineStr">
        <is>
          <t>Resubmission</t>
        </is>
      </c>
    </row>
    <row r="259">
      <c r="A259" s="2">
        <f>HYPERLINK("https://www.cadth.ca/palonosetron-hydrochloride-14", "Aloxi (capsule)")</f>
        <v>0</v>
      </c>
      <c r="B259" t="inlineStr">
        <is>
          <t>Palonosetron hydrochloride</t>
        </is>
      </c>
      <c r="C259" t="inlineStr">
        <is>
          <t>Nausea and vomiting (chemotherapy induced) prevention</t>
        </is>
      </c>
      <c r="D259" t="inlineStr">
        <is>
          <t>Do not list</t>
        </is>
      </c>
      <c r="E259" t="inlineStr">
        <is>
          <t>Complete</t>
        </is>
      </c>
      <c r="F259" s="3">
        <v>41187</v>
      </c>
      <c r="G259" s="3">
        <v>41388</v>
      </c>
      <c r="H259" t="inlineStr">
        <is>
          <t>SR0294</t>
        </is>
      </c>
      <c r="N259" t="inlineStr">
        <is>
          <t>Eisai Ltd.</t>
        </is>
      </c>
      <c r="Q259" t="inlineStr">
        <is>
          <t>Initial</t>
        </is>
      </c>
    </row>
    <row r="260">
      <c r="A260" s="2">
        <f>HYPERLINK("https://www.cadth.ca/ramiprilfelodipine-extended-release-6", "Altace Plus Felodipine")</f>
        <v>0</v>
      </c>
      <c r="B260" t="inlineStr">
        <is>
          <t>Ramipril/felodipine extended release</t>
        </is>
      </c>
      <c r="C260" t="inlineStr">
        <is>
          <t>Hypertension</t>
        </is>
      </c>
      <c r="D260" t="inlineStr">
        <is>
          <t>Do not list</t>
        </is>
      </c>
      <c r="E260" t="inlineStr">
        <is>
          <t>Complete</t>
        </is>
      </c>
      <c r="F260" s="3">
        <v>38890</v>
      </c>
      <c r="G260" s="3">
        <v>39036</v>
      </c>
      <c r="H260" t="inlineStr">
        <is>
          <t>S0067</t>
        </is>
      </c>
      <c r="N260" t="inlineStr">
        <is>
          <t>Sanofi-Aventis Canada Inc.</t>
        </is>
      </c>
      <c r="Q260" t="inlineStr">
        <is>
          <t>Initial</t>
        </is>
      </c>
    </row>
    <row r="261">
      <c r="A261" s="2">
        <f>HYPERLINK("https://www.cadth.ca/ramiprilhydrochlorothiazide-12", "Altace HCT")</f>
        <v>0</v>
      </c>
      <c r="B261" t="inlineStr">
        <is>
          <t>Ramipril/hydrochlorothiazide</t>
        </is>
      </c>
      <c r="C261" t="inlineStr">
        <is>
          <t>Hypertension</t>
        </is>
      </c>
      <c r="E261" t="inlineStr">
        <is>
          <t>Cancelled</t>
        </is>
      </c>
      <c r="F261" s="3">
        <v>39016</v>
      </c>
      <c r="H261" t="inlineStr">
        <is>
          <t>S0083</t>
        </is>
      </c>
      <c r="N261" t="inlineStr">
        <is>
          <t>Sanofi –Aventis Canada inc.</t>
        </is>
      </c>
      <c r="Q261" t="inlineStr">
        <is>
          <t>Initial</t>
        </is>
      </c>
    </row>
    <row r="262">
      <c r="A262" s="2">
        <f>HYPERLINK("https://www.cadth.ca/ramiprilhydrochlorothiazide-13", "Altace HCT")</f>
        <v>0</v>
      </c>
      <c r="B262" t="inlineStr">
        <is>
          <t>Ramipril/hydrochlorothiazide</t>
        </is>
      </c>
      <c r="C262" t="inlineStr">
        <is>
          <t>Hypertension</t>
        </is>
      </c>
      <c r="D262" t="inlineStr">
        <is>
          <t>List</t>
        </is>
      </c>
      <c r="E262" t="inlineStr">
        <is>
          <t>Complete</t>
        </is>
      </c>
      <c r="F262" s="3">
        <v>39167</v>
      </c>
      <c r="G262" s="3">
        <v>39247</v>
      </c>
      <c r="H262" t="inlineStr">
        <is>
          <t>S0095</t>
        </is>
      </c>
      <c r="N262" t="inlineStr">
        <is>
          <t>Sanofi-Aventis Canada Inc.</t>
        </is>
      </c>
      <c r="Q262" t="inlineStr">
        <is>
          <t>Resubmission</t>
        </is>
      </c>
    </row>
    <row r="263">
      <c r="A263" s="2">
        <f>HYPERLINK("https://www.cadth.ca/ciclesonide-6", "Alvesco")</f>
        <v>0</v>
      </c>
      <c r="B263" t="inlineStr">
        <is>
          <t>Ciclesonide</t>
        </is>
      </c>
      <c r="C263" t="inlineStr">
        <is>
          <t>asthma</t>
        </is>
      </c>
      <c r="D263" t="inlineStr">
        <is>
          <t>List</t>
        </is>
      </c>
      <c r="E263" t="inlineStr">
        <is>
          <t>Complete</t>
        </is>
      </c>
      <c r="F263" s="3">
        <v>38922</v>
      </c>
      <c r="G263" s="3">
        <v>39071</v>
      </c>
      <c r="H263" t="inlineStr">
        <is>
          <t>S0074</t>
        </is>
      </c>
      <c r="N263" t="inlineStr">
        <is>
          <t>Altana Pharma Inc.</t>
        </is>
      </c>
      <c r="Q263" t="inlineStr">
        <is>
          <t>Initial</t>
        </is>
      </c>
    </row>
    <row r="264">
      <c r="A264" s="2">
        <f>HYPERLINK("https://www.cadth.ca/alefacept-14", "Amevive")</f>
        <v>0</v>
      </c>
      <c r="B264" t="inlineStr">
        <is>
          <t>Alefacept</t>
        </is>
      </c>
      <c r="C264" t="inlineStr">
        <is>
          <t>Psoriasis, moderate to severe chronic plaque</t>
        </is>
      </c>
      <c r="D264" t="inlineStr">
        <is>
          <t>Do not list</t>
        </is>
      </c>
      <c r="E264" t="inlineStr">
        <is>
          <t>Complete</t>
        </is>
      </c>
      <c r="F264" s="3">
        <v>38776</v>
      </c>
      <c r="G264" s="3">
        <v>38987</v>
      </c>
      <c r="H264" t="inlineStr">
        <is>
          <t>S0053</t>
        </is>
      </c>
      <c r="N264" t="inlineStr">
        <is>
          <t>Biogen Idec Canada Inc.</t>
        </is>
      </c>
      <c r="Q264" t="inlineStr">
        <is>
          <t>Resubmission</t>
        </is>
      </c>
    </row>
    <row r="265">
      <c r="A265" s="2">
        <f>HYPERLINK("https://www.cadth.ca/alefacept-13", "Amevive")</f>
        <v>0</v>
      </c>
      <c r="B265" t="inlineStr">
        <is>
          <t>Alefacept</t>
        </is>
      </c>
      <c r="C265" t="inlineStr">
        <is>
          <t>Psoriasis, moderate to severe chronic plaque</t>
        </is>
      </c>
      <c r="D265" t="inlineStr">
        <is>
          <t>Do not list</t>
        </is>
      </c>
      <c r="E265" t="inlineStr">
        <is>
          <t>Complete</t>
        </is>
      </c>
      <c r="F265" s="3">
        <v>38307</v>
      </c>
      <c r="G265" s="3">
        <v>38498</v>
      </c>
      <c r="H265" t="inlineStr">
        <is>
          <t>S0024</t>
        </is>
      </c>
      <c r="N265" t="inlineStr">
        <is>
          <t>Biogen Idec Canada Inc.</t>
        </is>
      </c>
      <c r="Q265" t="inlineStr">
        <is>
          <t>Initial</t>
        </is>
      </c>
    </row>
    <row r="266">
      <c r="A266" s="2">
        <f>HYPERLINK("https://www.cadth.ca/cabotegravirrilpivirine", "Vocabria and Cabenuva")</f>
        <v>0</v>
      </c>
      <c r="B266" t="inlineStr">
        <is>
          <t>cabotegravir sodium cabotegravir-rilpivirine</t>
        </is>
      </c>
      <c r="C266" t="inlineStr">
        <is>
          <t>HIV-1 infection</t>
        </is>
      </c>
      <c r="D266" t="inlineStr">
        <is>
          <t>Reimburse with clinical criteria and/or conditions</t>
        </is>
      </c>
      <c r="E266" t="inlineStr">
        <is>
          <t>Complete</t>
        </is>
      </c>
      <c r="F266" s="3">
        <v>43696</v>
      </c>
      <c r="G266" s="3">
        <v>44034</v>
      </c>
      <c r="H266" t="inlineStr">
        <is>
          <t>SR0628-000</t>
        </is>
      </c>
      <c r="N266" t="inlineStr">
        <is>
          <t>ViiV Healthcare ULC</t>
        </is>
      </c>
      <c r="Q266" t="inlineStr">
        <is>
          <t>Initial</t>
        </is>
      </c>
    </row>
    <row r="267">
      <c r="A267" s="2">
        <f>HYPERLINK("https://www.cadth.ca/umeclidiniumvilanterol-4", "Anoro Ellipta")</f>
        <v>0</v>
      </c>
      <c r="B267" t="inlineStr">
        <is>
          <t>Umeclidinium/vilanterol</t>
        </is>
      </c>
      <c r="C267" t="inlineStr">
        <is>
          <t>Chronic Obstructive Pulmonary Disease</t>
        </is>
      </c>
      <c r="D267" t="inlineStr">
        <is>
          <t>List with criteria/condition</t>
        </is>
      </c>
      <c r="E267" t="inlineStr">
        <is>
          <t>Complete</t>
        </is>
      </c>
      <c r="F267" s="3">
        <v>41696</v>
      </c>
      <c r="G267" s="3">
        <v>42019</v>
      </c>
      <c r="H267" t="inlineStr">
        <is>
          <t>SR0371-000</t>
        </is>
      </c>
      <c r="N267" t="inlineStr">
        <is>
          <t>GlaxoSmithKline Inc.</t>
        </is>
      </c>
      <c r="Q267" t="inlineStr">
        <is>
          <t>Initial</t>
        </is>
      </c>
    </row>
    <row r="268">
      <c r="A268" s="2">
        <f>HYPERLINK("https://www.cadth.ca/insulin-glulisine-6", "Apidra")</f>
        <v>0</v>
      </c>
      <c r="B268" t="inlineStr">
        <is>
          <t>Insulin glulisine</t>
        </is>
      </c>
      <c r="C268" t="inlineStr">
        <is>
          <t>Diabetes, Mellitus (Type 1 &amp; 2)</t>
        </is>
      </c>
      <c r="D268" t="inlineStr">
        <is>
          <t>List in a similar manner to other drugs in class</t>
        </is>
      </c>
      <c r="E268" t="inlineStr">
        <is>
          <t>Complete</t>
        </is>
      </c>
      <c r="F268" s="3">
        <v>39689</v>
      </c>
      <c r="G268" s="3">
        <v>39863</v>
      </c>
      <c r="H268" t="inlineStr">
        <is>
          <t>S0144</t>
        </is>
      </c>
      <c r="N268" t="inlineStr">
        <is>
          <t>Sanofi-Aventis Canada Inc.</t>
        </is>
      </c>
      <c r="Q268" t="inlineStr">
        <is>
          <t>Initial</t>
        </is>
      </c>
    </row>
    <row r="269">
      <c r="A269" s="2">
        <f>HYPERLINK("https://www.cadth.ca/doxycycline-monohydrate-6", "Apprilon")</f>
        <v>0</v>
      </c>
      <c r="B269" t="inlineStr">
        <is>
          <t>Doxycycline monohydrate</t>
        </is>
      </c>
      <c r="C269" t="inlineStr">
        <is>
          <t>Rosacea treatment</t>
        </is>
      </c>
      <c r="D269" t="inlineStr">
        <is>
          <t>Do not list</t>
        </is>
      </c>
      <c r="E269" t="inlineStr">
        <is>
          <t>Complete</t>
        </is>
      </c>
      <c r="F269" s="3">
        <v>41026</v>
      </c>
      <c r="G269" s="3">
        <v>41360</v>
      </c>
      <c r="H269" t="inlineStr">
        <is>
          <t>SR0279</t>
        </is>
      </c>
      <c r="N269" t="inlineStr">
        <is>
          <t>Galderma Canada Inc.</t>
        </is>
      </c>
      <c r="Q269" t="inlineStr">
        <is>
          <t>Initial</t>
        </is>
      </c>
    </row>
    <row r="270">
      <c r="A270" s="2">
        <f>HYPERLINK("https://www.cadth.ca/eslicarbazepine-acetate-4", "Aptiom")</f>
        <v>0</v>
      </c>
      <c r="B270" t="inlineStr">
        <is>
          <t>Eslicarbazepine acetate</t>
        </is>
      </c>
      <c r="C270" t="inlineStr">
        <is>
          <t>Epilepsy, partial-onset seizures</t>
        </is>
      </c>
      <c r="D270" t="inlineStr">
        <is>
          <t>List with criteria/condition</t>
        </is>
      </c>
      <c r="E270" t="inlineStr">
        <is>
          <t>Complete</t>
        </is>
      </c>
      <c r="F270" s="3">
        <v>41866</v>
      </c>
      <c r="G270" s="3">
        <v>42110</v>
      </c>
      <c r="H270" t="inlineStr">
        <is>
          <t>SR0391</t>
        </is>
      </c>
      <c r="N270" t="inlineStr">
        <is>
          <t>Sunovion Pharmaceuticals Canada Inc.</t>
        </is>
      </c>
      <c r="Q270" t="inlineStr">
        <is>
          <t>Initial</t>
        </is>
      </c>
    </row>
    <row r="271">
      <c r="A271" s="2">
        <f>HYPERLINK("https://www.cadth.ca/tipranavir-6", "Aptivus")</f>
        <v>0</v>
      </c>
      <c r="B271" t="inlineStr">
        <is>
          <t>Tipranavir</t>
        </is>
      </c>
      <c r="C271" t="inlineStr">
        <is>
          <t>HIV infection</t>
        </is>
      </c>
      <c r="D271" t="inlineStr">
        <is>
          <t>List with clinical criteria and/or conditions</t>
        </is>
      </c>
      <c r="E271" t="inlineStr">
        <is>
          <t>Complete</t>
        </is>
      </c>
      <c r="F271" s="3">
        <v>38701</v>
      </c>
      <c r="G271" s="3">
        <v>38854</v>
      </c>
      <c r="H271" t="inlineStr">
        <is>
          <t>S0047</t>
        </is>
      </c>
      <c r="N271" t="inlineStr">
        <is>
          <t>Boehringer Ingelheim (Canada) Inc.</t>
        </is>
      </c>
      <c r="Q271" t="inlineStr">
        <is>
          <t>Initial</t>
        </is>
      </c>
    </row>
    <row r="272">
      <c r="A272" s="2">
        <f>HYPERLINK("https://www.cadth.ca/fluticasone-propionate-salmeterol-xinafoate", "Arbesda RespiClick")</f>
        <v>0</v>
      </c>
      <c r="B272" t="inlineStr">
        <is>
          <t>fluticasone propionate / salmeterol xinafoate</t>
        </is>
      </c>
      <c r="C272" t="inlineStr">
        <is>
          <t>Asthma</t>
        </is>
      </c>
      <c r="D272" t="inlineStr">
        <is>
          <t>Reimburse with clinical criteria and/or conditions</t>
        </is>
      </c>
      <c r="E272" t="inlineStr">
        <is>
          <t>Complete</t>
        </is>
      </c>
      <c r="F272" s="3">
        <v>43012</v>
      </c>
      <c r="G272" s="3">
        <v>43453</v>
      </c>
      <c r="H272" t="inlineStr">
        <is>
          <t>SR0540-000</t>
        </is>
      </c>
      <c r="N272" t="inlineStr">
        <is>
          <t>TEVA Canada Innovation</t>
        </is>
      </c>
      <c r="Q272" t="inlineStr">
        <is>
          <t>New Combination</t>
        </is>
      </c>
    </row>
    <row r="273">
      <c r="A273" s="2">
        <f>HYPERLINK("https://www.cadth.ca/fluticasone-furoate", "Arnuity Ellipta")</f>
        <v>0</v>
      </c>
      <c r="B273" t="inlineStr">
        <is>
          <t>Fluticasone furoate</t>
        </is>
      </c>
      <c r="C273" t="inlineStr">
        <is>
          <t>Asthma</t>
        </is>
      </c>
      <c r="D273" t="inlineStr">
        <is>
          <t>List with criteria/condition</t>
        </is>
      </c>
      <c r="E273" t="inlineStr">
        <is>
          <t>Complete</t>
        </is>
      </c>
      <c r="F273" s="3">
        <v>42181</v>
      </c>
      <c r="G273" s="3">
        <v>42355</v>
      </c>
      <c r="H273" t="inlineStr">
        <is>
          <t>SR0439-000</t>
        </is>
      </c>
      <c r="N273" t="inlineStr">
        <is>
          <t>GlaxoSmithKline Inc.</t>
        </is>
      </c>
      <c r="Q273" t="inlineStr">
        <is>
          <t>Initial</t>
        </is>
      </c>
    </row>
    <row r="274">
      <c r="A274" s="2">
        <f>HYPERLINK("https://www.cadth.ca/mometasone-furoate-6", "ASMANEX")</f>
        <v>0</v>
      </c>
      <c r="B274" t="inlineStr">
        <is>
          <t>Mometasone furoate</t>
        </is>
      </c>
      <c r="C274" t="inlineStr">
        <is>
          <t>Asthma, (Bronchial) Prophylactic management of steroid responsive</t>
        </is>
      </c>
      <c r="D274" t="inlineStr">
        <is>
          <t>List</t>
        </is>
      </c>
      <c r="E274" t="inlineStr">
        <is>
          <t>Complete</t>
        </is>
      </c>
      <c r="F274" s="3">
        <v>40857</v>
      </c>
      <c r="G274" s="3">
        <v>41045</v>
      </c>
      <c r="H274" t="inlineStr">
        <is>
          <t>SR0258</t>
        </is>
      </c>
      <c r="N274" t="inlineStr">
        <is>
          <t>Merck Canada Inc.</t>
        </is>
      </c>
      <c r="Q274" t="inlineStr">
        <is>
          <t>Initial</t>
        </is>
      </c>
    </row>
    <row r="275">
      <c r="A275" s="2">
        <f>HYPERLINK("https://www.cadth.ca/indacaterol-mometasone-furoate", "Atectura Breezhaler")</f>
        <v>0</v>
      </c>
      <c r="B275" t="inlineStr">
        <is>
          <t>indacaterol /mometasone furoate</t>
        </is>
      </c>
      <c r="C275" t="inlineStr">
        <is>
          <t>Indicated as a once-daily maintenance treatment of asthma in adults and adolescents 12 years of age and older with reversible obstructive airways disease.  Atectura Breezhaler should be prescribed for patients not adequately controlled on a long-term asthma control medication, such as ICS or whose disease severity clearly warrants treatment with both a LABA and an ICS.</t>
        </is>
      </c>
      <c r="E275" t="inlineStr">
        <is>
          <t>Active</t>
        </is>
      </c>
      <c r="F275" s="3">
        <v>43970</v>
      </c>
      <c r="H275" t="inlineStr">
        <is>
          <t>SR0646-000</t>
        </is>
      </c>
      <c r="N275" t="inlineStr">
        <is>
          <t>Novartis Pharmaceuticals Canada Inc.</t>
        </is>
      </c>
      <c r="Q275" t="inlineStr">
        <is>
          <t>Initial</t>
        </is>
      </c>
    </row>
    <row r="276">
      <c r="A276" s="2">
        <f>HYPERLINK("https://www.cadth.ca/efavirenz-emtricitabine-tenofovir-disoproxil-fumarate-6", "Atripla")</f>
        <v>0</v>
      </c>
      <c r="B276" t="inlineStr">
        <is>
          <t>Efavirenz, emtricitabine, tenofovir disoproxil fumarate</t>
        </is>
      </c>
      <c r="C276" t="inlineStr">
        <is>
          <t>HIV</t>
        </is>
      </c>
      <c r="D276" t="inlineStr">
        <is>
          <t>List with clinical criteria and/or conditions</t>
        </is>
      </c>
      <c r="E276" t="inlineStr">
        <is>
          <t>Complete</t>
        </is>
      </c>
      <c r="F276" s="3">
        <v>39385</v>
      </c>
      <c r="G276" s="3">
        <v>39555</v>
      </c>
      <c r="H276" t="inlineStr">
        <is>
          <t>S0111</t>
        </is>
      </c>
      <c r="N276" t="inlineStr">
        <is>
          <t>Bristol-Myers Squibb and Gilead Sciences</t>
        </is>
      </c>
      <c r="Q276" t="inlineStr">
        <is>
          <t>Initial</t>
        </is>
      </c>
    </row>
    <row r="277">
      <c r="A277" s="2">
        <f>HYPERLINK("https://www.cadth.ca/teriflunomide-6", "Aubagio")</f>
        <v>0</v>
      </c>
      <c r="B277" t="inlineStr">
        <is>
          <t>Teriflunomide</t>
        </is>
      </c>
      <c r="C277" t="inlineStr">
        <is>
          <t>Multiple Sclerosis, relapsing</t>
        </is>
      </c>
      <c r="D277" t="inlineStr">
        <is>
          <t>Do not list at the submitted price</t>
        </is>
      </c>
      <c r="E277" t="inlineStr">
        <is>
          <t>Complete</t>
        </is>
      </c>
      <c r="F277" s="3">
        <v>41514</v>
      </c>
      <c r="G277" s="3">
        <v>41808</v>
      </c>
      <c r="H277" t="inlineStr">
        <is>
          <t>SR0350</t>
        </is>
      </c>
      <c r="N277" t="inlineStr">
        <is>
          <t>Genzyme Canada, a Division of Sanofi Aventis Canada Inc.</t>
        </is>
      </c>
      <c r="Q277" t="inlineStr">
        <is>
          <t>Pre-NOC</t>
        </is>
      </c>
    </row>
    <row r="278">
      <c r="A278" s="2">
        <f>HYPERLINK("https://www.cadth.ca/lanreotide-acetate-6", "Somatuline Autogel")</f>
        <v>0</v>
      </c>
      <c r="B278" t="inlineStr">
        <is>
          <t>Lanreotide acetate</t>
        </is>
      </c>
      <c r="C278" t="inlineStr">
        <is>
          <t>Acromegaly</t>
        </is>
      </c>
      <c r="D278" t="inlineStr">
        <is>
          <t>List in a similar manner to other drugs in class</t>
        </is>
      </c>
      <c r="E278" t="inlineStr">
        <is>
          <t>Complete</t>
        </is>
      </c>
      <c r="F278" s="3">
        <v>39133</v>
      </c>
      <c r="G278" s="3">
        <v>39282</v>
      </c>
      <c r="H278" t="inlineStr">
        <is>
          <t>S0091</t>
        </is>
      </c>
      <c r="N278" t="inlineStr">
        <is>
          <t>Ipsen Limited</t>
        </is>
      </c>
      <c r="Q278" t="inlineStr">
        <is>
          <t>Initial</t>
        </is>
      </c>
    </row>
    <row r="279">
      <c r="A279" s="2">
        <f>HYPERLINK("https://www.cadth.ca/dutasteride-5", "Avodart")</f>
        <v>0</v>
      </c>
      <c r="B279" t="inlineStr">
        <is>
          <t>Dutasteride</t>
        </is>
      </c>
      <c r="C279" t="inlineStr">
        <is>
          <t>Prostatic hyperplasia, benign</t>
        </is>
      </c>
      <c r="D279" t="inlineStr">
        <is>
          <t>List in a similar manner to other drugs in class</t>
        </is>
      </c>
      <c r="E279" t="inlineStr">
        <is>
          <t>Complete</t>
        </is>
      </c>
      <c r="F279" s="3">
        <v>38223</v>
      </c>
      <c r="G279" s="3">
        <v>38372</v>
      </c>
      <c r="H279" t="inlineStr">
        <is>
          <t>S0019</t>
        </is>
      </c>
      <c r="N279" t="inlineStr">
        <is>
          <t>GlaxoSmithKline Inc.</t>
        </is>
      </c>
      <c r="Q279" t="inlineStr">
        <is>
          <t>Initial</t>
        </is>
      </c>
    </row>
    <row r="280">
      <c r="A280" s="2">
        <f>HYPERLINK("https://www.cadth.ca/almotriptan-4", "Axert")</f>
        <v>0</v>
      </c>
      <c r="B280" t="inlineStr">
        <is>
          <t>Almotriptan</t>
        </is>
      </c>
      <c r="C280" t="inlineStr">
        <is>
          <t>Migraine</t>
        </is>
      </c>
      <c r="D280" t="inlineStr">
        <is>
          <t>List in a similar manner to other drugs in class</t>
        </is>
      </c>
      <c r="E280" t="inlineStr">
        <is>
          <t>Complete</t>
        </is>
      </c>
      <c r="F280" s="3">
        <v>37979</v>
      </c>
      <c r="G280" s="3">
        <v>38134</v>
      </c>
      <c r="H280" t="inlineStr">
        <is>
          <t>S0005</t>
        </is>
      </c>
      <c r="N280" t="inlineStr">
        <is>
          <t>Janssen-Ortho Inc.</t>
        </is>
      </c>
      <c r="Q280" t="inlineStr">
        <is>
          <t>Initial</t>
        </is>
      </c>
    </row>
    <row r="281">
      <c r="A281" s="2">
        <f>HYPERLINK("https://www.cadth.ca/brinzolamide-and-timolol-maleate-suspension-6", "Azarga")</f>
        <v>0</v>
      </c>
      <c r="B281" t="inlineStr">
        <is>
          <t>Brinzolamide and timolol maleate suspension</t>
        </is>
      </c>
      <c r="C281" t="inlineStr">
        <is>
          <t>Glaucoma and ocular hypertension</t>
        </is>
      </c>
      <c r="D281" t="inlineStr">
        <is>
          <t>List in a similar manner to other drugs in class</t>
        </is>
      </c>
      <c r="E281" t="inlineStr">
        <is>
          <t>Complete</t>
        </is>
      </c>
      <c r="F281" s="3">
        <v>40053</v>
      </c>
      <c r="G281" s="3">
        <v>40227</v>
      </c>
      <c r="H281" t="inlineStr">
        <is>
          <t>S0173</t>
        </is>
      </c>
      <c r="N281" t="inlineStr">
        <is>
          <t>Alcon Canada Inc.</t>
        </is>
      </c>
      <c r="Q281" t="inlineStr">
        <is>
          <t>Initial</t>
        </is>
      </c>
    </row>
    <row r="282">
      <c r="A282" s="2">
        <f>HYPERLINK("https://www.cadth.ca/rasagiline-mesylate-11", "Azilect")</f>
        <v>0</v>
      </c>
      <c r="B282" t="inlineStr">
        <is>
          <t>Rasagiline mesylate</t>
        </is>
      </c>
      <c r="C282" t="inlineStr">
        <is>
          <t>Parkinson's disease</t>
        </is>
      </c>
      <c r="D282" t="inlineStr">
        <is>
          <t>Do not list</t>
        </is>
      </c>
      <c r="E282" t="inlineStr">
        <is>
          <t>Complete</t>
        </is>
      </c>
      <c r="F282" s="3">
        <v>38961</v>
      </c>
      <c r="G282" s="3">
        <v>39169</v>
      </c>
      <c r="H282" t="inlineStr">
        <is>
          <t>S0073</t>
        </is>
      </c>
      <c r="N282" t="inlineStr">
        <is>
          <t>Teva Neurosciences</t>
        </is>
      </c>
      <c r="Q282" t="inlineStr">
        <is>
          <t>Initial</t>
        </is>
      </c>
    </row>
    <row r="283">
      <c r="A283" s="2">
        <f>HYPERLINK("https://www.cadth.ca/rasagiline-mesylate-12", "Azilect")</f>
        <v>0</v>
      </c>
      <c r="B283" t="inlineStr">
        <is>
          <t>Rasagiline mesylate</t>
        </is>
      </c>
      <c r="C283" t="inlineStr">
        <is>
          <t>Parkinson’s disease</t>
        </is>
      </c>
      <c r="E283" t="inlineStr">
        <is>
          <t>Complete</t>
        </is>
      </c>
      <c r="F283" s="3">
        <v>39882</v>
      </c>
      <c r="H283" t="inlineStr">
        <is>
          <t>S0161</t>
        </is>
      </c>
      <c r="N283" t="inlineStr">
        <is>
          <t>Teva Pharmaceuticals Industries Ltd.</t>
        </is>
      </c>
      <c r="Q283" t="inlineStr">
        <is>
          <t>Request For Advice</t>
        </is>
      </c>
    </row>
    <row r="284">
      <c r="A284" s="2">
        <f>HYPERLINK("https://www.cadth.ca/rufinamide-6", "Banzel")</f>
        <v>0</v>
      </c>
      <c r="B284" t="inlineStr">
        <is>
          <t>Rufinamide</t>
        </is>
      </c>
      <c r="C284" t="inlineStr">
        <is>
          <t>Lennox-Gastaut syndrome; adjunctive treatment of seizures</t>
        </is>
      </c>
      <c r="D284" t="inlineStr">
        <is>
          <t>List with clinical criteria and/or conditions</t>
        </is>
      </c>
      <c r="E284" t="inlineStr">
        <is>
          <t>Complete</t>
        </is>
      </c>
      <c r="F284" s="3">
        <v>40806</v>
      </c>
      <c r="G284" s="3">
        <v>40983</v>
      </c>
      <c r="H284" t="inlineStr">
        <is>
          <t>S0252</t>
        </is>
      </c>
      <c r="N284" t="inlineStr">
        <is>
          <t>Eisai Limited</t>
        </is>
      </c>
      <c r="Q284" t="inlineStr">
        <is>
          <t>Initial</t>
        </is>
      </c>
    </row>
    <row r="285">
      <c r="A285" s="2">
        <f>HYPERLINK("https://www.cadth.ca/glucagon", "Baqsimi")</f>
        <v>0</v>
      </c>
      <c r="B285" t="inlineStr">
        <is>
          <t>glucagon</t>
        </is>
      </c>
      <c r="C285" t="inlineStr">
        <is>
          <t>Severe hypoglycemic reactions</t>
        </is>
      </c>
      <c r="D285" t="inlineStr">
        <is>
          <t>Reimburse with clinical criteria and/or conditions</t>
        </is>
      </c>
      <c r="E285" t="inlineStr">
        <is>
          <t>Complete</t>
        </is>
      </c>
      <c r="F285" s="3">
        <v>43670</v>
      </c>
      <c r="G285" s="3">
        <v>43852</v>
      </c>
      <c r="H285" t="inlineStr">
        <is>
          <t>SR0626-000</t>
        </is>
      </c>
      <c r="N285" t="inlineStr">
        <is>
          <t>Eli Lilly Canada Inc.</t>
        </is>
      </c>
      <c r="Q285" t="inlineStr">
        <is>
          <t>Initial</t>
        </is>
      </c>
    </row>
    <row r="286">
      <c r="A286" s="2">
        <f>HYPERLINK("https://www.cadth.ca/entecavir-6", "Baraclude")</f>
        <v>0</v>
      </c>
      <c r="B286" t="inlineStr">
        <is>
          <t>Entecavir</t>
        </is>
      </c>
      <c r="C286" t="inlineStr">
        <is>
          <t>Hepatitis B (chronic)</t>
        </is>
      </c>
      <c r="D286" t="inlineStr">
        <is>
          <t>List with clinical criteria and/or conditions</t>
        </is>
      </c>
      <c r="E286" t="inlineStr">
        <is>
          <t>Complete</t>
        </is>
      </c>
      <c r="F286" s="3">
        <v>39063</v>
      </c>
      <c r="G286" s="3">
        <v>39414</v>
      </c>
      <c r="H286" t="inlineStr">
        <is>
          <t>S0089</t>
        </is>
      </c>
      <c r="N286" t="inlineStr">
        <is>
          <t>Bristol-Myers Squibb Canada</t>
        </is>
      </c>
      <c r="Q286" t="inlineStr">
        <is>
          <t>Initial</t>
        </is>
      </c>
    </row>
    <row r="287">
      <c r="A287" s="2">
        <f>HYPERLINK("https://www.cadth.ca/insulin-glargine", "Basaglar")</f>
        <v>0</v>
      </c>
      <c r="B287" t="inlineStr">
        <is>
          <t>Insulin glargine</t>
        </is>
      </c>
      <c r="C287" t="inlineStr">
        <is>
          <t>Diabetes mellitus, Type 1 &amp; 2</t>
        </is>
      </c>
      <c r="D287" t="inlineStr">
        <is>
          <t>List with clinical criteria and/or conditions</t>
        </is>
      </c>
      <c r="E287" t="inlineStr">
        <is>
          <t>Complete</t>
        </is>
      </c>
      <c r="F287" s="3">
        <v>42282</v>
      </c>
      <c r="G287" s="3">
        <v>42474</v>
      </c>
      <c r="H287" t="inlineStr">
        <is>
          <t>SE0451-000</t>
        </is>
      </c>
      <c r="N287" t="inlineStr">
        <is>
          <t>Eli Lilly Canada Inc.</t>
        </is>
      </c>
      <c r="Q287" t="inlineStr">
        <is>
          <t>Initial</t>
        </is>
      </c>
    </row>
    <row r="288">
      <c r="A288" s="2">
        <f>HYPERLINK("https://www.cadth.ca/belimumab-7", "Benlysta")</f>
        <v>0</v>
      </c>
      <c r="B288" t="inlineStr">
        <is>
          <t>Belimumab</t>
        </is>
      </c>
      <c r="C288" t="inlineStr">
        <is>
          <t>systemic lupus erythematosus</t>
        </is>
      </c>
      <c r="D288" t="inlineStr">
        <is>
          <t>Do not reimburse</t>
        </is>
      </c>
      <c r="E288" t="inlineStr">
        <is>
          <t>Complete</t>
        </is>
      </c>
      <c r="F288" s="3">
        <v>43614</v>
      </c>
      <c r="G288" s="3">
        <v>43943</v>
      </c>
      <c r="H288" t="inlineStr">
        <is>
          <t>SR0616-000</t>
        </is>
      </c>
      <c r="N288" t="inlineStr">
        <is>
          <t>GlaxoSmithKline Inc.</t>
        </is>
      </c>
      <c r="Q288" t="inlineStr">
        <is>
          <t>Initial</t>
        </is>
      </c>
    </row>
    <row r="289">
      <c r="A289" s="2">
        <f>HYPERLINK("https://www.cadth.ca/belimumab-6", "Benlysta")</f>
        <v>0</v>
      </c>
      <c r="B289" t="inlineStr">
        <is>
          <t>Belimumab</t>
        </is>
      </c>
      <c r="C289" t="inlineStr">
        <is>
          <t>Systemic lupus erythematosus</t>
        </is>
      </c>
      <c r="D289" t="inlineStr">
        <is>
          <t>Do not list</t>
        </is>
      </c>
      <c r="E289" t="inlineStr">
        <is>
          <t>Complete</t>
        </is>
      </c>
      <c r="F289" s="3">
        <v>40805</v>
      </c>
      <c r="G289" s="3">
        <v>41024</v>
      </c>
      <c r="H289" t="inlineStr">
        <is>
          <t>S0251</t>
        </is>
      </c>
      <c r="N289" t="inlineStr">
        <is>
          <t>GlaxoSmithKline Inc.</t>
        </is>
      </c>
      <c r="Q289" t="inlineStr">
        <is>
          <t>Initial</t>
        </is>
      </c>
    </row>
    <row r="290">
      <c r="A290" s="2">
        <f>HYPERLINK("https://www.cadth.ca/brolucizumab", "Beovu")</f>
        <v>0</v>
      </c>
      <c r="B290" t="inlineStr">
        <is>
          <t>brolucizumab</t>
        </is>
      </c>
      <c r="C290" t="inlineStr">
        <is>
          <t>Macular degeneration, age-related</t>
        </is>
      </c>
      <c r="D290" t="inlineStr">
        <is>
          <t>Reimburse with clinical criteria and/or conditions</t>
        </is>
      </c>
      <c r="E290" t="inlineStr">
        <is>
          <t>Complete</t>
        </is>
      </c>
      <c r="F290" s="3">
        <v>43734</v>
      </c>
      <c r="G290" s="3">
        <v>43972</v>
      </c>
      <c r="H290" t="inlineStr">
        <is>
          <t>SR0632-000</t>
        </is>
      </c>
      <c r="N290" t="inlineStr">
        <is>
          <t>Novartis Pharmaceuticals Canada Inc.</t>
        </is>
      </c>
      <c r="Q290" t="inlineStr">
        <is>
          <t>Initial</t>
        </is>
      </c>
    </row>
    <row r="291">
      <c r="A291" s="2">
        <f>HYPERLINK("https://www.cadth.ca/bictegraviremtricitabinetenofovir-alafenamide", "Biktarvy")</f>
        <v>0</v>
      </c>
      <c r="B291" t="inlineStr">
        <is>
          <t>bictegravir/emtricitabine/tenofovir alafenamide</t>
        </is>
      </c>
      <c r="C291" t="inlineStr">
        <is>
          <t>HIV-1 infection</t>
        </is>
      </c>
      <c r="D291" t="inlineStr">
        <is>
          <t>Reimburse with clinical criteria and/or conditions</t>
        </is>
      </c>
      <c r="E291" t="inlineStr">
        <is>
          <t>Complete</t>
        </is>
      </c>
      <c r="F291" s="3">
        <v>43220</v>
      </c>
      <c r="G291" s="3">
        <v>43398</v>
      </c>
      <c r="H291" t="inlineStr">
        <is>
          <t>SR0567-000</t>
        </is>
      </c>
      <c r="N291" t="inlineStr">
        <is>
          <t>Gilead Sciences Canada, Inc.</t>
        </is>
      </c>
      <c r="Q291" t="inlineStr">
        <is>
          <t>New Combination</t>
        </is>
      </c>
    </row>
    <row r="292">
      <c r="A292" s="2">
        <f>HYPERLINK("https://www.cadth.ca/infliximab-19", "Inflectra (Subsequent Entry Biologic)")</f>
        <v>0</v>
      </c>
      <c r="B292" t="inlineStr">
        <is>
          <t>Infliximab</t>
        </is>
      </c>
      <c r="C292" t="inlineStr">
        <is>
          <t>Crohn’s disease and Ulcerative Colitis</t>
        </is>
      </c>
      <c r="D292" t="inlineStr">
        <is>
          <t>Reimburse with clinical criteria and/or conditions</t>
        </is>
      </c>
      <c r="E292" t="inlineStr">
        <is>
          <t>Complete</t>
        </is>
      </c>
      <c r="F292" s="3">
        <v>42472</v>
      </c>
      <c r="G292" s="3">
        <v>42668</v>
      </c>
      <c r="H292" t="inlineStr">
        <is>
          <t>SE0483-000</t>
        </is>
      </c>
      <c r="N292" t="inlineStr">
        <is>
          <t>Hospira HealthCare Corporation, a Pfizer Company</t>
        </is>
      </c>
      <c r="Q292" t="inlineStr">
        <is>
          <t>New Indication</t>
        </is>
      </c>
    </row>
    <row r="293">
      <c r="A293" s="2">
        <f>HYPERLINK("https://www.cadth.ca/onabotulinumtoxina-22", "Botox")</f>
        <v>0</v>
      </c>
      <c r="B293" t="inlineStr">
        <is>
          <t>OnabotulinumtoxinA</t>
        </is>
      </c>
      <c r="C293" t="inlineStr">
        <is>
          <t>Urinary incontinence</t>
        </is>
      </c>
      <c r="D293" t="inlineStr">
        <is>
          <t>List with criteria/condition</t>
        </is>
      </c>
      <c r="E293" t="inlineStr">
        <is>
          <t>Complete</t>
        </is>
      </c>
      <c r="F293" s="3">
        <v>41603</v>
      </c>
      <c r="G293" s="3">
        <v>41955</v>
      </c>
      <c r="H293" t="inlineStr">
        <is>
          <t>SR0362</t>
        </is>
      </c>
      <c r="N293" t="inlineStr">
        <is>
          <t>Allergan Inc.</t>
        </is>
      </c>
      <c r="Q293" t="inlineStr">
        <is>
          <t>New Indication</t>
        </is>
      </c>
    </row>
    <row r="294">
      <c r="A294" s="2">
        <f>HYPERLINK("https://www.cadth.ca/onabotulinumtoxina-23", "Botox")</f>
        <v>0</v>
      </c>
      <c r="B294" t="inlineStr">
        <is>
          <t>onabotulinumtoxinA</t>
        </is>
      </c>
      <c r="C294" t="inlineStr">
        <is>
          <t>Migraine, chronic</t>
        </is>
      </c>
      <c r="D294" t="inlineStr">
        <is>
          <t>Reimburse with clinical criteria and/or conditions</t>
        </is>
      </c>
      <c r="E294" t="inlineStr">
        <is>
          <t>Complete</t>
        </is>
      </c>
      <c r="F294" s="3">
        <v>43406</v>
      </c>
      <c r="G294" s="3">
        <v>43755</v>
      </c>
      <c r="H294" t="inlineStr">
        <is>
          <t>SR0584-000</t>
        </is>
      </c>
      <c r="N294" t="inlineStr">
        <is>
          <t>Allergan Canada Inc.</t>
        </is>
      </c>
      <c r="Q294" t="inlineStr">
        <is>
          <t>Resubmission</t>
        </is>
      </c>
    </row>
    <row r="295">
      <c r="A295" s="2">
        <f>HYPERLINK("https://www.cadth.ca/onabotulinumtoxina-21", "Botox")</f>
        <v>0</v>
      </c>
      <c r="B295" t="inlineStr">
        <is>
          <t>OnabotulinumtoxinA</t>
        </is>
      </c>
      <c r="C295" t="inlineStr">
        <is>
          <t>Migraine, chronic</t>
        </is>
      </c>
      <c r="D295" t="inlineStr">
        <is>
          <t>Do not list</t>
        </is>
      </c>
      <c r="E295" t="inlineStr">
        <is>
          <t>Complete</t>
        </is>
      </c>
      <c r="F295" s="3">
        <v>41501</v>
      </c>
      <c r="G295" s="3">
        <v>41787</v>
      </c>
      <c r="H295" t="inlineStr">
        <is>
          <t>SR0345</t>
        </is>
      </c>
      <c r="N295" t="inlineStr">
        <is>
          <t>Allergan Inc.</t>
        </is>
      </c>
      <c r="Q295" t="inlineStr">
        <is>
          <t>New Indication</t>
        </is>
      </c>
    </row>
    <row r="296">
      <c r="A296" s="2">
        <f>HYPERLINK("https://www.cadth.ca/onabotulinumtoxina-20", "Botox")</f>
        <v>0</v>
      </c>
      <c r="B296" t="inlineStr">
        <is>
          <t>OnabotulinumtoxinA</t>
        </is>
      </c>
      <c r="C296" t="inlineStr">
        <is>
          <t>Neurogenic Detrusor Overactivity</t>
        </is>
      </c>
      <c r="D296" t="inlineStr">
        <is>
          <t>List with clinical criteria and/or conditions</t>
        </is>
      </c>
      <c r="E296" t="inlineStr">
        <is>
          <t>Complete</t>
        </is>
      </c>
      <c r="F296" s="3">
        <v>40939</v>
      </c>
      <c r="G296" s="3">
        <v>41109</v>
      </c>
      <c r="H296" t="inlineStr">
        <is>
          <t>SR0268</t>
        </is>
      </c>
      <c r="N296" t="inlineStr">
        <is>
          <t>Allergan Inc.</t>
        </is>
      </c>
      <c r="Q296" t="inlineStr">
        <is>
          <t>Initial</t>
        </is>
      </c>
    </row>
    <row r="297">
      <c r="A297" s="2">
        <f>HYPERLINK("https://www.cadth.ca/indacaterolglycopyrronium-5", "Ultibro Breezhaler")</f>
        <v>0</v>
      </c>
      <c r="B297" t="inlineStr">
        <is>
          <t>Indacaterol/glycopyrronium</t>
        </is>
      </c>
      <c r="C297" t="inlineStr">
        <is>
          <t>COPD</t>
        </is>
      </c>
      <c r="D297" t="inlineStr">
        <is>
          <t>List with criteria/condition</t>
        </is>
      </c>
      <c r="E297" t="inlineStr">
        <is>
          <t>Complete</t>
        </is>
      </c>
      <c r="F297" s="3">
        <v>41673</v>
      </c>
      <c r="G297" s="3">
        <v>41992</v>
      </c>
      <c r="H297" t="inlineStr">
        <is>
          <t>SR0369-000</t>
        </is>
      </c>
      <c r="N297" t="inlineStr">
        <is>
          <t>Novartis Pharmaceuticals Canada Inc.</t>
        </is>
      </c>
      <c r="Q297" t="inlineStr">
        <is>
          <t>Initial</t>
        </is>
      </c>
    </row>
    <row r="298">
      <c r="A298" s="2">
        <f>HYPERLINK("https://www.cadth.ca/indacaterol-glycopyrronium-mometasone-furoate", "Enerzair Breezhaler")</f>
        <v>0</v>
      </c>
      <c r="B298" t="inlineStr">
        <is>
          <t>indacaterol  glycopyrronium  mometasone furoate</t>
        </is>
      </c>
      <c r="C298" t="inlineStr">
        <is>
          <t>Indicated as a maintenance treatment of asthma in adult patients not adequately controlled with a maintenance combination of a long-acting beta2-agonist and a medium or high dose of an inhaled corticosteroid who experienced one or more asthma exacerbations in the previous 12 months.</t>
        </is>
      </c>
      <c r="E298" t="inlineStr">
        <is>
          <t>Active</t>
        </is>
      </c>
      <c r="F298" s="3">
        <v>43970</v>
      </c>
      <c r="H298" t="inlineStr">
        <is>
          <t>SR0645-000</t>
        </is>
      </c>
      <c r="N298" t="inlineStr">
        <is>
          <t>Novartis Pharmaceuticals Canada Inc.</t>
        </is>
      </c>
      <c r="Q298" t="inlineStr">
        <is>
          <t>Initial</t>
        </is>
      </c>
    </row>
    <row r="299">
      <c r="A299" s="2">
        <f>HYPERLINK("https://www.cadth.ca/etanercept", "Brenzys")</f>
        <v>0</v>
      </c>
      <c r="B299" t="inlineStr">
        <is>
          <t>Etanercept</t>
        </is>
      </c>
      <c r="C299" t="inlineStr">
        <is>
          <t>Rheumatoid arthritis, ankylosing spondylitis</t>
        </is>
      </c>
      <c r="D299" t="inlineStr">
        <is>
          <t>Reimburse with clinical criteria and/or conditions</t>
        </is>
      </c>
      <c r="E299" t="inlineStr">
        <is>
          <t>Complete</t>
        </is>
      </c>
      <c r="F299" s="3">
        <v>42480</v>
      </c>
      <c r="G299" s="3">
        <v>42668</v>
      </c>
      <c r="H299" t="inlineStr">
        <is>
          <t>SE0485-000</t>
        </is>
      </c>
      <c r="N299" t="inlineStr">
        <is>
          <t>Merck Canada Inc.</t>
        </is>
      </c>
      <c r="Q299" t="inlineStr">
        <is>
          <t>Initial</t>
        </is>
      </c>
    </row>
    <row r="300">
      <c r="A300" s="2">
        <f>HYPERLINK("https://www.cadth.ca/fluticasone-furoatevilanterol-0", "Breo Ellipta")</f>
        <v>0</v>
      </c>
      <c r="B300" t="inlineStr">
        <is>
          <t>fluticasone furoate/vilanterol</t>
        </is>
      </c>
      <c r="C300" t="inlineStr">
        <is>
          <t>Asthma</t>
        </is>
      </c>
      <c r="E300" t="inlineStr">
        <is>
          <t>Withdrawn</t>
        </is>
      </c>
      <c r="F300" s="3">
        <v>43222</v>
      </c>
      <c r="H300" t="inlineStr">
        <is>
          <t>SR0568-000</t>
        </is>
      </c>
      <c r="N300" t="inlineStr">
        <is>
          <t>GlaxoSmithKline Inc.</t>
        </is>
      </c>
      <c r="Q300" t="inlineStr">
        <is>
          <t>Resubmission</t>
        </is>
      </c>
    </row>
    <row r="301">
      <c r="A301" s="2">
        <f>HYPERLINK("https://www.cadth.ca/fluticasone-furoate-and-vilanterol-trifenatate-SR0442", "Breo Ellipta")</f>
        <v>0</v>
      </c>
      <c r="B301" t="inlineStr">
        <is>
          <t>Fluticasone Furoate and Vilanterol (as trifenatate)</t>
        </is>
      </c>
      <c r="C301" t="inlineStr">
        <is>
          <t>Asthma</t>
        </is>
      </c>
      <c r="D301" t="inlineStr">
        <is>
          <t>List with clinical criteria and/or conditions</t>
        </is>
      </c>
      <c r="E301" t="inlineStr">
        <is>
          <t>Complete</t>
        </is>
      </c>
      <c r="F301" s="3">
        <v>42226</v>
      </c>
      <c r="G301" s="3">
        <v>42418</v>
      </c>
      <c r="H301" t="inlineStr">
        <is>
          <t>SR0442-000</t>
        </is>
      </c>
      <c r="N301" t="inlineStr">
        <is>
          <t>GlaxoSmithKline Inc.</t>
        </is>
      </c>
      <c r="Q301" t="inlineStr">
        <is>
          <t>New Indication</t>
        </is>
      </c>
    </row>
    <row r="302">
      <c r="A302" s="2">
        <f>HYPERLINK("https://www.cadth.ca/fluticasone-furoatevilanterol", "Breo Ellipta")</f>
        <v>0</v>
      </c>
      <c r="B302" t="inlineStr">
        <is>
          <t>fluticasone furoate/vilanterol</t>
        </is>
      </c>
      <c r="C302" t="inlineStr">
        <is>
          <t>COPD</t>
        </is>
      </c>
      <c r="E302" t="inlineStr">
        <is>
          <t>Withdrawn</t>
        </is>
      </c>
      <c r="F302" s="3">
        <v>42914</v>
      </c>
      <c r="H302" t="inlineStr">
        <is>
          <t>SR0524-000</t>
        </is>
      </c>
      <c r="N302" t="inlineStr">
        <is>
          <t>GlaxoSmithKline Inc.</t>
        </is>
      </c>
      <c r="Q302" t="inlineStr">
        <is>
          <t>Resubmission</t>
        </is>
      </c>
    </row>
    <row r="303">
      <c r="A303" s="2">
        <f>HYPERLINK("https://www.cadth.ca/fluticasone-furoate-vilanterol-6", "Breo Ellipta")</f>
        <v>0</v>
      </c>
      <c r="B303" t="inlineStr">
        <is>
          <t>Fluticasone furoate /vilanterol</t>
        </is>
      </c>
      <c r="C303" t="inlineStr">
        <is>
          <t>Chronic Obstructive Pulmonary Disease (COPD)</t>
        </is>
      </c>
      <c r="D303" t="inlineStr">
        <is>
          <t>List with criteria/condition</t>
        </is>
      </c>
      <c r="E303" t="inlineStr">
        <is>
          <t>Complete</t>
        </is>
      </c>
      <c r="F303" s="3">
        <v>41576</v>
      </c>
      <c r="G303" s="3">
        <v>41869</v>
      </c>
      <c r="H303" t="inlineStr">
        <is>
          <t>SR0358</t>
        </is>
      </c>
      <c r="N303" t="inlineStr">
        <is>
          <t>GlaxoSmithKline</t>
        </is>
      </c>
      <c r="Q303" t="inlineStr">
        <is>
          <t>Initial</t>
        </is>
      </c>
    </row>
    <row r="304">
      <c r="A304" s="2">
        <f>HYPERLINK("https://www.cadth.ca/ticagrelor-10", "Brilinta")</f>
        <v>0</v>
      </c>
      <c r="B304" t="inlineStr">
        <is>
          <t>Ticagrelor</t>
        </is>
      </c>
      <c r="C304" t="inlineStr">
        <is>
          <t>Acute Coronary Syndromes (ACS)</t>
        </is>
      </c>
      <c r="E304" t="inlineStr">
        <is>
          <t>Cancelled</t>
        </is>
      </c>
      <c r="F304" s="3">
        <v>40337</v>
      </c>
      <c r="H304" t="inlineStr">
        <is>
          <t>S0203</t>
        </is>
      </c>
      <c r="N304" t="inlineStr">
        <is>
          <t>AstraZeneca Canada Inc</t>
        </is>
      </c>
      <c r="Q304" t="inlineStr">
        <is>
          <t>Pre-NOC</t>
        </is>
      </c>
    </row>
    <row r="305">
      <c r="A305" s="2">
        <f>HYPERLINK("https://www.cadth.ca/ticagrelor-12", "Brilinta")</f>
        <v>0</v>
      </c>
      <c r="B305" t="inlineStr">
        <is>
          <t>Ticagrelor</t>
        </is>
      </c>
      <c r="C305" t="inlineStr">
        <is>
          <t>Thrombotic events in Acute Coronary Syndromes, Prevention</t>
        </is>
      </c>
      <c r="D305" t="inlineStr">
        <is>
          <t>Do not list</t>
        </is>
      </c>
      <c r="E305" t="inlineStr">
        <is>
          <t>Complete</t>
        </is>
      </c>
      <c r="F305" s="3">
        <v>40695</v>
      </c>
      <c r="G305" s="3">
        <v>40893</v>
      </c>
      <c r="H305" t="inlineStr">
        <is>
          <t>S0234</t>
        </is>
      </c>
      <c r="N305" t="inlineStr">
        <is>
          <t>AstraZeneca Canada Inc</t>
        </is>
      </c>
      <c r="Q305" t="inlineStr">
        <is>
          <t>Initial</t>
        </is>
      </c>
    </row>
    <row r="306">
      <c r="A306" s="2">
        <f>HYPERLINK("https://www.cadth.ca/ticagrelor-13", "Brilinta")</f>
        <v>0</v>
      </c>
      <c r="B306" t="inlineStr">
        <is>
          <t>ticagrelor</t>
        </is>
      </c>
      <c r="C306" t="inlineStr">
        <is>
          <t>Prevention of atherothrombotic events with history of myocardial infarction</t>
        </is>
      </c>
      <c r="D306" t="inlineStr">
        <is>
          <t>Reimburse with clinical criteria and/or conditions</t>
        </is>
      </c>
      <c r="E306" t="inlineStr">
        <is>
          <t>Complete</t>
        </is>
      </c>
      <c r="F306" s="3">
        <v>42418</v>
      </c>
      <c r="G306" s="3">
        <v>42607</v>
      </c>
      <c r="H306" t="inlineStr">
        <is>
          <t>SR0474-000</t>
        </is>
      </c>
      <c r="N306" t="inlineStr">
        <is>
          <t>AstraZeneca Canada Inc</t>
        </is>
      </c>
      <c r="Q306" t="inlineStr">
        <is>
          <t>New Indication</t>
        </is>
      </c>
    </row>
    <row r="307">
      <c r="A307" s="2">
        <f>HYPERLINK("https://www.cadth.ca/cerliponase-alfa", "Brineura")</f>
        <v>0</v>
      </c>
      <c r="B307" t="inlineStr">
        <is>
          <t>cerliponase alfa</t>
        </is>
      </c>
      <c r="C307" t="inlineStr">
        <is>
          <t>Neuronal Ceroid Lipofuscinosis Type 2</t>
        </is>
      </c>
      <c r="D307" t="inlineStr">
        <is>
          <t>Reimburse with clinical criteria and/or conditions</t>
        </is>
      </c>
      <c r="E307" t="inlineStr">
        <is>
          <t>Complete</t>
        </is>
      </c>
      <c r="F307" s="3">
        <v>43312</v>
      </c>
      <c r="G307" s="3">
        <v>43608</v>
      </c>
      <c r="H307" t="inlineStr">
        <is>
          <t>SR0574-000</t>
        </is>
      </c>
      <c r="N307" t="inlineStr">
        <is>
          <t>Biomarin Pharmaceutical (Canada) Inc.</t>
        </is>
      </c>
      <c r="Q307" t="inlineStr">
        <is>
          <t>Initial</t>
        </is>
      </c>
    </row>
    <row r="308">
      <c r="A308" s="2">
        <f>HYPERLINK("https://www.cadth.ca/brivaracetam", "Brivlera")</f>
        <v>0</v>
      </c>
      <c r="B308" t="inlineStr">
        <is>
          <t>Brivaracetam</t>
        </is>
      </c>
      <c r="C308" t="inlineStr">
        <is>
          <t>Epilepsy, partial-onset seizures</t>
        </is>
      </c>
      <c r="D308" t="inlineStr">
        <is>
          <t>Reimburse with clinical criteria and/or conditions</t>
        </is>
      </c>
      <c r="E308" t="inlineStr">
        <is>
          <t>Complete</t>
        </is>
      </c>
      <c r="F308" s="3">
        <v>42479</v>
      </c>
      <c r="G308" s="3">
        <v>42760</v>
      </c>
      <c r="H308" t="inlineStr">
        <is>
          <t>SR0484-000</t>
        </is>
      </c>
      <c r="N308" t="inlineStr">
        <is>
          <t>UCB Canada Inc.</t>
        </is>
      </c>
      <c r="Q308" t="inlineStr">
        <is>
          <t>Initial</t>
        </is>
      </c>
    </row>
    <row r="309">
      <c r="A309" s="2">
        <f>HYPERLINK("https://www.cadth.ca/buprenorphine-transdermal-patch-S0233", "BuTrans")</f>
        <v>0</v>
      </c>
      <c r="B309" t="inlineStr">
        <is>
          <t>Buprenorphine transdermal patch</t>
        </is>
      </c>
      <c r="C309" t="inlineStr">
        <is>
          <t>Pain, persistent (moderate intensity)</t>
        </is>
      </c>
      <c r="D309" t="inlineStr">
        <is>
          <t>Do not list</t>
        </is>
      </c>
      <c r="E309" t="inlineStr">
        <is>
          <t>Complete</t>
        </is>
      </c>
      <c r="F309" s="3">
        <v>40672</v>
      </c>
      <c r="G309" s="3">
        <v>40814</v>
      </c>
      <c r="H309" t="inlineStr">
        <is>
          <t>S0233</t>
        </is>
      </c>
      <c r="N309" t="inlineStr">
        <is>
          <t>Purdue Pharma</t>
        </is>
      </c>
      <c r="Q309" t="inlineStr">
        <is>
          <t>Resubmission</t>
        </is>
      </c>
    </row>
    <row r="310">
      <c r="A310" s="2">
        <f>HYPERLINK("https://www.cadth.ca/buprenorphine-transdermal-patch-10", "BuTrans")</f>
        <v>0</v>
      </c>
      <c r="B310" t="inlineStr">
        <is>
          <t>Buprenorphine transdermal patch</t>
        </is>
      </c>
      <c r="C310" t="inlineStr">
        <is>
          <t>Pain, persistent (moderate intensity)</t>
        </is>
      </c>
      <c r="E310" t="inlineStr">
        <is>
          <t>Cancelled</t>
        </is>
      </c>
      <c r="F310" s="3">
        <v>40466</v>
      </c>
      <c r="H310" t="inlineStr">
        <is>
          <t>S0211</t>
        </is>
      </c>
      <c r="N310" t="inlineStr">
        <is>
          <t>Purdue Pharma</t>
        </is>
      </c>
      <c r="Q310" t="inlineStr">
        <is>
          <t>Initial</t>
        </is>
      </c>
    </row>
    <row r="311">
      <c r="A311" s="2">
        <f>HYPERLINK("https://www.cadth.ca/exenatide-6", "Byetta")</f>
        <v>0</v>
      </c>
      <c r="B311" t="inlineStr">
        <is>
          <t>Exenatide</t>
        </is>
      </c>
      <c r="C311" t="inlineStr">
        <is>
          <t>Diabetes mellitus, Type 2</t>
        </is>
      </c>
      <c r="D311" t="inlineStr">
        <is>
          <t>Do not list</t>
        </is>
      </c>
      <c r="E311" t="inlineStr">
        <is>
          <t>Complete</t>
        </is>
      </c>
      <c r="F311" s="3">
        <v>40778</v>
      </c>
      <c r="G311" s="3">
        <v>41109</v>
      </c>
      <c r="H311" t="inlineStr">
        <is>
          <t>S0246</t>
        </is>
      </c>
      <c r="N311" t="inlineStr">
        <is>
          <t>Eli Lilly Canada</t>
        </is>
      </c>
      <c r="Q311" t="inlineStr">
        <is>
          <t>Initial</t>
        </is>
      </c>
    </row>
    <row r="312">
      <c r="A312" s="2">
        <f>HYPERLINK("https://www.cadth.ca/nebivolol-6", "Bystolic")</f>
        <v>0</v>
      </c>
      <c r="B312" t="inlineStr">
        <is>
          <t>Nebivolol</t>
        </is>
      </c>
      <c r="C312" t="inlineStr">
        <is>
          <t>Hypertension, essential</t>
        </is>
      </c>
      <c r="D312" t="inlineStr">
        <is>
          <t>Do not list at the submitted price</t>
        </is>
      </c>
      <c r="E312" t="inlineStr">
        <is>
          <t>Complete</t>
        </is>
      </c>
      <c r="F312" s="3">
        <v>41309</v>
      </c>
      <c r="G312" s="3">
        <v>41473</v>
      </c>
      <c r="H312" t="inlineStr">
        <is>
          <t>SR0307</t>
        </is>
      </c>
      <c r="N312" t="inlineStr">
        <is>
          <t>Forest Laboratories Canada Inc.</t>
        </is>
      </c>
      <c r="Q312" t="inlineStr">
        <is>
          <t>Initial</t>
        </is>
      </c>
    </row>
    <row r="313">
      <c r="A313" s="2">
        <f>HYPERLINK("https://www.cadth.ca/caplacizumab", "Cablivi")</f>
        <v>0</v>
      </c>
      <c r="B313" t="inlineStr">
        <is>
          <t>caplacizumab</t>
        </is>
      </c>
      <c r="C313" t="inlineStr">
        <is>
          <t>​Indicated for the treatment of adults with acquired thrombotic thrombocytopenic purpura (aTTP) in combination with plasma exchange (PE) and immunosuppressive therapy.</t>
        </is>
      </c>
      <c r="D313" t="inlineStr">
        <is>
          <t>Do not reimburse</t>
        </is>
      </c>
      <c r="E313" t="inlineStr">
        <is>
          <t>Complete</t>
        </is>
      </c>
      <c r="F313" s="3">
        <v>43721</v>
      </c>
      <c r="G313" s="3">
        <v>44069</v>
      </c>
      <c r="H313" t="inlineStr">
        <is>
          <t>SR0633-000</t>
        </is>
      </c>
      <c r="N313" t="inlineStr">
        <is>
          <t>Sanofi-Genzyme, a division of sanofi-aventis Canada Inc.</t>
        </is>
      </c>
      <c r="Q313" t="inlineStr">
        <is>
          <t>Initial</t>
        </is>
      </c>
    </row>
    <row r="314">
      <c r="A314" s="2">
        <f>HYPERLINK("https://www.cadth.ca/amlodipine-besylate-atorvastatin-calcium-6", "Caduet")</f>
        <v>0</v>
      </c>
      <c r="B314" t="inlineStr">
        <is>
          <t>Amlodipine besylate/ atorvastatin calcium</t>
        </is>
      </c>
      <c r="C314" t="inlineStr">
        <is>
          <t>Hypertension/ Dyslipidemia</t>
        </is>
      </c>
      <c r="D314" t="inlineStr">
        <is>
          <t>List with clinical criteria and/or conditions</t>
        </is>
      </c>
      <c r="E314" t="inlineStr">
        <is>
          <t>Complete</t>
        </is>
      </c>
      <c r="F314" s="3">
        <v>38701</v>
      </c>
      <c r="G314" s="3">
        <v>38854</v>
      </c>
      <c r="H314" t="inlineStr">
        <is>
          <t>S0048</t>
        </is>
      </c>
      <c r="N314" t="inlineStr">
        <is>
          <t>Pfizer Canada Inc.</t>
        </is>
      </c>
      <c r="Q314" t="inlineStr">
        <is>
          <t>Initial</t>
        </is>
      </c>
    </row>
    <row r="315">
      <c r="A315" s="2">
        <f>HYPERLINK("https://www.cadth.ca/acamprosate-calcium-12", "Campral")</f>
        <v>0</v>
      </c>
      <c r="B315" t="inlineStr">
        <is>
          <t>Acamprosate calcium</t>
        </is>
      </c>
      <c r="C315" t="inlineStr">
        <is>
          <t>Alcohol Abstinence</t>
        </is>
      </c>
      <c r="E315" t="inlineStr">
        <is>
          <t>Complete</t>
        </is>
      </c>
      <c r="F315" s="3">
        <v>39651</v>
      </c>
      <c r="H315" t="inlineStr">
        <is>
          <t>S0143</t>
        </is>
      </c>
      <c r="N315" t="inlineStr">
        <is>
          <t>Prempharm Inc.</t>
        </is>
      </c>
      <c r="Q315" t="inlineStr">
        <is>
          <t>Request For Advice</t>
        </is>
      </c>
    </row>
    <row r="316">
      <c r="A316" s="2">
        <f>HYPERLINK("https://www.cadth.ca/acamprosate-calcium-11", "Campral")</f>
        <v>0</v>
      </c>
      <c r="B316" t="inlineStr">
        <is>
          <t>Acamprosate calcium</t>
        </is>
      </c>
      <c r="C316" t="inlineStr">
        <is>
          <t>Alcohol Abstinence</t>
        </is>
      </c>
      <c r="D316" t="inlineStr">
        <is>
          <t>List with clinical criteria and/or conditions</t>
        </is>
      </c>
      <c r="E316" t="inlineStr">
        <is>
          <t>Complete</t>
        </is>
      </c>
      <c r="F316" s="3">
        <v>39323</v>
      </c>
      <c r="G316" s="3">
        <v>39534</v>
      </c>
      <c r="H316" t="inlineStr">
        <is>
          <t>S0108</t>
        </is>
      </c>
      <c r="N316" t="inlineStr">
        <is>
          <t>Prempharm Inc.</t>
        </is>
      </c>
      <c r="Q316" t="inlineStr">
        <is>
          <t>Initial</t>
        </is>
      </c>
    </row>
    <row r="317">
      <c r="A317" s="2">
        <f>HYPERLINK("https://www.cadth.ca/aztreonam-inhalation-solution-6", "Cayston")</f>
        <v>0</v>
      </c>
      <c r="B317" t="inlineStr">
        <is>
          <t>Aztreonam for inhalation solution</t>
        </is>
      </c>
      <c r="C317" t="inlineStr">
        <is>
          <t>Cystic fibrosis (CF) with chronic pulmonary pseudomonas aeruginosa infections</t>
        </is>
      </c>
      <c r="D317" t="inlineStr">
        <is>
          <t>List with clinical criteria and/or conditions</t>
        </is>
      </c>
      <c r="E317" t="inlineStr">
        <is>
          <t>Complete</t>
        </is>
      </c>
      <c r="F317" s="3">
        <v>40514</v>
      </c>
      <c r="G317" s="3">
        <v>40742</v>
      </c>
      <c r="H317" t="inlineStr">
        <is>
          <t>S0220</t>
        </is>
      </c>
      <c r="N317" t="inlineStr">
        <is>
          <t>Gilead Sciences Canada Inc.</t>
        </is>
      </c>
      <c r="Q317" t="inlineStr">
        <is>
          <t>Initial</t>
        </is>
      </c>
    </row>
    <row r="318">
      <c r="A318" s="2">
        <f>HYPERLINK("https://www.cadth.ca/maraviroc-16", "Celsentri")</f>
        <v>0</v>
      </c>
      <c r="B318" t="inlineStr">
        <is>
          <t>Maraviroc</t>
        </is>
      </c>
      <c r="C318" t="inlineStr">
        <is>
          <t>HIV</t>
        </is>
      </c>
      <c r="E318" t="inlineStr">
        <is>
          <t>Withdrawn</t>
        </is>
      </c>
      <c r="F318" s="3">
        <v>39388</v>
      </c>
      <c r="H318" t="inlineStr">
        <is>
          <t>S0113</t>
        </is>
      </c>
      <c r="N318" t="inlineStr">
        <is>
          <t>Pfizer Canada Inc.</t>
        </is>
      </c>
      <c r="Q318" t="inlineStr">
        <is>
          <t>Initial</t>
        </is>
      </c>
    </row>
    <row r="319">
      <c r="A319" s="2">
        <f>HYPERLINK("https://www.cadth.ca/maraviroc-19", "Celsentri")</f>
        <v>0</v>
      </c>
      <c r="B319" t="inlineStr">
        <is>
          <t>Maraviroc</t>
        </is>
      </c>
      <c r="C319" t="inlineStr">
        <is>
          <t>HIV</t>
        </is>
      </c>
      <c r="D319" t="inlineStr">
        <is>
          <t>List with clinical criteria and/or conditions</t>
        </is>
      </c>
      <c r="E319" t="inlineStr">
        <is>
          <t>Complete</t>
        </is>
      </c>
      <c r="F319" s="3">
        <v>39575</v>
      </c>
      <c r="G319" s="3">
        <v>39764</v>
      </c>
      <c r="H319" t="inlineStr">
        <is>
          <t>S0136</t>
        </is>
      </c>
      <c r="N319" t="inlineStr">
        <is>
          <t>Pfizer Canada Inc.</t>
        </is>
      </c>
      <c r="Q319" t="inlineStr">
        <is>
          <t>Resubmission</t>
        </is>
      </c>
    </row>
    <row r="320">
      <c r="A320" s="2">
        <f>HYPERLINK("https://www.cadth.ca/maraviroc-20", "Celsentri")</f>
        <v>0</v>
      </c>
      <c r="B320" t="inlineStr">
        <is>
          <t>Maraviroc</t>
        </is>
      </c>
      <c r="C320" t="inlineStr">
        <is>
          <t>HIV-1, treatment naïve (adult)</t>
        </is>
      </c>
      <c r="D320" t="inlineStr">
        <is>
          <t>Do not list</t>
        </is>
      </c>
      <c r="E320" t="inlineStr">
        <is>
          <t>Complete</t>
        </is>
      </c>
      <c r="F320" s="3">
        <v>40520</v>
      </c>
      <c r="G320" s="3">
        <v>40742</v>
      </c>
      <c r="H320" t="inlineStr">
        <is>
          <t>S0221</t>
        </is>
      </c>
      <c r="N320" t="inlineStr">
        <is>
          <t>GlaxoSmithKline</t>
        </is>
      </c>
      <c r="Q320" t="inlineStr">
        <is>
          <t>New Indication</t>
        </is>
      </c>
    </row>
    <row r="321">
      <c r="A321" s="2">
        <f>HYPERLINK("https://www.cadth.ca/eliglustat", "Cerdelga")</f>
        <v>0</v>
      </c>
      <c r="B321" t="inlineStr">
        <is>
          <t>Eliglustat</t>
        </is>
      </c>
      <c r="C321" t="inlineStr">
        <is>
          <t>Gaucher disease</t>
        </is>
      </c>
      <c r="D321" t="inlineStr">
        <is>
          <t>Reimburse with clinical criteria and/or conditions</t>
        </is>
      </c>
      <c r="E321" t="inlineStr">
        <is>
          <t>Complete</t>
        </is>
      </c>
      <c r="F321" s="3">
        <v>42755</v>
      </c>
      <c r="G321" s="3">
        <v>42942</v>
      </c>
      <c r="H321" t="inlineStr">
        <is>
          <t>SR0511-000</t>
        </is>
      </c>
      <c r="N321" t="inlineStr">
        <is>
          <t>Sanofi Genzyme</t>
        </is>
      </c>
      <c r="Q321" t="inlineStr">
        <is>
          <t>Initial</t>
        </is>
      </c>
    </row>
    <row r="322">
      <c r="A322" s="2">
        <f>HYPERLINK("https://www.cadth.ca/varenicline-tartrate-6", "Champix")</f>
        <v>0</v>
      </c>
      <c r="B322" t="inlineStr">
        <is>
          <t>Varenicline tartrate</t>
        </is>
      </c>
      <c r="C322" t="inlineStr">
        <is>
          <t>Smoking-cessation</t>
        </is>
      </c>
      <c r="D322" t="inlineStr">
        <is>
          <t>List with clinical criteria and/or conditions</t>
        </is>
      </c>
      <c r="E322" t="inlineStr">
        <is>
          <t>Complete</t>
        </is>
      </c>
      <c r="F322" s="3">
        <v>39162</v>
      </c>
      <c r="G322" s="3">
        <v>39310</v>
      </c>
      <c r="H322" t="inlineStr">
        <is>
          <t>S0094</t>
        </is>
      </c>
      <c r="N322" t="inlineStr">
        <is>
          <t>Pfizer Canada Inc.</t>
        </is>
      </c>
      <c r="Q322" t="inlineStr">
        <is>
          <t>Initial</t>
        </is>
      </c>
    </row>
    <row r="323">
      <c r="A323" s="2">
        <f>HYPERLINK("https://www.cadth.ca/certolizumab-pegol-16", "Cimzia")</f>
        <v>0</v>
      </c>
      <c r="B323" t="inlineStr">
        <is>
          <t>Certolizumab pegol</t>
        </is>
      </c>
      <c r="C323" t="inlineStr">
        <is>
          <t>Arthritis, rheumatoid</t>
        </is>
      </c>
      <c r="D323" t="inlineStr">
        <is>
          <t>Do not list</t>
        </is>
      </c>
      <c r="E323" t="inlineStr">
        <is>
          <t>Complete</t>
        </is>
      </c>
      <c r="F323" s="3">
        <v>40059</v>
      </c>
      <c r="G323" s="3">
        <v>40325</v>
      </c>
      <c r="H323" t="inlineStr">
        <is>
          <t>S0175</t>
        </is>
      </c>
      <c r="N323" t="inlineStr">
        <is>
          <t>UCB Pharma Canada Inc.</t>
        </is>
      </c>
      <c r="Q323" t="inlineStr">
        <is>
          <t>Initial</t>
        </is>
      </c>
    </row>
    <row r="324">
      <c r="A324" s="2">
        <f>HYPERLINK("https://www.cadth.ca/certolizumab-pegol-18", "Cimzia")</f>
        <v>0</v>
      </c>
      <c r="B324" t="inlineStr">
        <is>
          <t>Certolizumab pegol</t>
        </is>
      </c>
      <c r="C324" t="inlineStr">
        <is>
          <t>Arthritis, psoriatic</t>
        </is>
      </c>
      <c r="D324" t="inlineStr">
        <is>
          <t>List with criteria/condition</t>
        </is>
      </c>
      <c r="E324" t="inlineStr">
        <is>
          <t>Complete</t>
        </is>
      </c>
      <c r="F324" s="3">
        <v>41884</v>
      </c>
      <c r="G324" s="3">
        <v>42111</v>
      </c>
      <c r="H324" t="inlineStr">
        <is>
          <t>SR0394</t>
        </is>
      </c>
      <c r="N324" t="inlineStr">
        <is>
          <t>UCB Canada Inc.</t>
        </is>
      </c>
      <c r="Q324" t="inlineStr">
        <is>
          <t>New Indication</t>
        </is>
      </c>
    </row>
    <row r="325">
      <c r="A325" s="2">
        <f>HYPERLINK("https://www.cadth.ca/certolizumab-pegol-19", "Cimzia")</f>
        <v>0</v>
      </c>
      <c r="B325" t="inlineStr">
        <is>
          <t>certolizumab pegol</t>
        </is>
      </c>
      <c r="C325" t="inlineStr">
        <is>
          <t>Psoriasis, moderate to severe plaque</t>
        </is>
      </c>
      <c r="D325" t="inlineStr">
        <is>
          <t>Reimburse with clinical criteria and/or conditions</t>
        </is>
      </c>
      <c r="E325" t="inlineStr">
        <is>
          <t>Complete</t>
        </is>
      </c>
      <c r="F325" s="3">
        <v>43598</v>
      </c>
      <c r="G325" s="3">
        <v>43789</v>
      </c>
      <c r="H325" t="inlineStr">
        <is>
          <t>SR0587-000</t>
        </is>
      </c>
      <c r="N325" t="inlineStr">
        <is>
          <t>UCB Canada Inc.</t>
        </is>
      </c>
      <c r="Q325" t="inlineStr">
        <is>
          <t>Initial</t>
        </is>
      </c>
    </row>
    <row r="326">
      <c r="A326" s="2">
        <f>HYPERLINK("https://www.cadth.ca/certolizumab-pegol-17", "Cimzia")</f>
        <v>0</v>
      </c>
      <c r="B326" t="inlineStr">
        <is>
          <t>Certolizumab pegol</t>
        </is>
      </c>
      <c r="C326" t="inlineStr">
        <is>
          <t>Ankylosing spondylitis</t>
        </is>
      </c>
      <c r="D326" t="inlineStr">
        <is>
          <t>List with criteria/condition</t>
        </is>
      </c>
      <c r="E326" t="inlineStr">
        <is>
          <t>Complete</t>
        </is>
      </c>
      <c r="F326" s="3">
        <v>41813</v>
      </c>
      <c r="G326" s="3">
        <v>42111</v>
      </c>
      <c r="H326" t="inlineStr">
        <is>
          <t>SR0385-000</t>
        </is>
      </c>
      <c r="N326" t="inlineStr">
        <is>
          <t>UCB Canada Inc.</t>
        </is>
      </c>
      <c r="Q326" t="inlineStr">
        <is>
          <t>Initial</t>
        </is>
      </c>
    </row>
    <row r="327">
      <c r="A327" s="2">
        <f>HYPERLINK("https://www.cadth.ca/reslizumab-0", "Cinqair")</f>
        <v>0</v>
      </c>
      <c r="B327" t="inlineStr">
        <is>
          <t>reslizumab</t>
        </is>
      </c>
      <c r="C327" t="inlineStr">
        <is>
          <t>Asthma, eosinophilic</t>
        </is>
      </c>
      <c r="D327" t="inlineStr">
        <is>
          <t>Reimburse with clinical criteria and/or conditions</t>
        </is>
      </c>
      <c r="E327" t="inlineStr">
        <is>
          <t>Complete</t>
        </is>
      </c>
      <c r="F327" s="3">
        <v>43397</v>
      </c>
      <c r="G327" s="3">
        <v>43551</v>
      </c>
      <c r="H327" t="inlineStr">
        <is>
          <t>SF0591-000</t>
        </is>
      </c>
      <c r="N327" t="inlineStr">
        <is>
          <t>TEVA Canada Innovation</t>
        </is>
      </c>
      <c r="Q327" t="inlineStr">
        <is>
          <t>Request For Advice</t>
        </is>
      </c>
    </row>
    <row r="328">
      <c r="A328" s="2">
        <f>HYPERLINK("https://www.cadth.ca/reslizumab", "Cinqair")</f>
        <v>0</v>
      </c>
      <c r="B328" t="inlineStr">
        <is>
          <t>Reslizumab</t>
        </is>
      </c>
      <c r="C328" t="inlineStr">
        <is>
          <t>Asthma, eosinophilic</t>
        </is>
      </c>
      <c r="D328" t="inlineStr">
        <is>
          <t>Reimburse with clinical criteria and/or conditions</t>
        </is>
      </c>
      <c r="E328" t="inlineStr">
        <is>
          <t>Complete</t>
        </is>
      </c>
      <c r="F328" s="3">
        <v>42586</v>
      </c>
      <c r="G328" s="3">
        <v>42816</v>
      </c>
      <c r="H328" t="inlineStr">
        <is>
          <t>SR0495-000</t>
        </is>
      </c>
      <c r="N328" t="inlineStr">
        <is>
          <t>TEVA Canada Innovation</t>
        </is>
      </c>
      <c r="Q328" t="inlineStr">
        <is>
          <t>Initial</t>
        </is>
      </c>
    </row>
    <row r="329">
      <c r="A329" s="2">
        <f>HYPERLINK("https://www.cadth.ca/escitalopram-oxalate-12", "Cipralex")</f>
        <v>0</v>
      </c>
      <c r="B329" t="inlineStr">
        <is>
          <t>Escitalopram oxalate</t>
        </is>
      </c>
      <c r="C329" t="inlineStr">
        <is>
          <t>Depression, Major Depressive Disorder (MDD)</t>
        </is>
      </c>
      <c r="D329" t="inlineStr">
        <is>
          <t>Do not list</t>
        </is>
      </c>
      <c r="E329" t="inlineStr">
        <is>
          <t>Complete</t>
        </is>
      </c>
      <c r="F329" s="3">
        <v>38876</v>
      </c>
      <c r="G329" s="3">
        <v>39106</v>
      </c>
      <c r="H329" t="inlineStr">
        <is>
          <t>S0064</t>
        </is>
      </c>
      <c r="N329" t="inlineStr">
        <is>
          <t>Lundbeck Canada Inc.</t>
        </is>
      </c>
      <c r="Q329" t="inlineStr">
        <is>
          <t>Resubmission</t>
        </is>
      </c>
    </row>
    <row r="330">
      <c r="A330" s="2">
        <f>HYPERLINK("https://www.cadth.ca/escitalopram-oxalate-10", "Cipralex")</f>
        <v>0</v>
      </c>
      <c r="B330" t="inlineStr">
        <is>
          <t>Escitalopram oxalate</t>
        </is>
      </c>
      <c r="C330" t="inlineStr">
        <is>
          <t>Depression, Major Depressive Disorder (MDD)</t>
        </is>
      </c>
      <c r="E330" t="inlineStr">
        <is>
          <t>Withdrawn</t>
        </is>
      </c>
      <c r="F330" s="3">
        <v>38567</v>
      </c>
      <c r="H330" t="inlineStr">
        <is>
          <t>S0039</t>
        </is>
      </c>
      <c r="N330" t="inlineStr">
        <is>
          <t>Lundbeck Canada Inc.</t>
        </is>
      </c>
      <c r="Q330" t="inlineStr">
        <is>
          <t>Initial</t>
        </is>
      </c>
    </row>
    <row r="331">
      <c r="A331" s="2">
        <f>HYPERLINK("https://www.cadth.ca/ciprofloxacin-hydrochloride-dexamethasone-otic-suspension-6", "Ciprodex")</f>
        <v>0</v>
      </c>
      <c r="B331" t="inlineStr">
        <is>
          <t>Ciprofloxacin hydrochloride &amp; dexamethasone otic suspension</t>
        </is>
      </c>
      <c r="C331" t="inlineStr">
        <is>
          <t>Otitis media with otorrhea &amp; otitis externa, acute</t>
        </is>
      </c>
      <c r="D331" t="inlineStr">
        <is>
          <t>List with clinical criteria and/or conditions</t>
        </is>
      </c>
      <c r="E331" t="inlineStr">
        <is>
          <t>Complete</t>
        </is>
      </c>
      <c r="F331" s="3">
        <v>39248</v>
      </c>
      <c r="G331" s="3">
        <v>39373</v>
      </c>
      <c r="H331" t="inlineStr">
        <is>
          <t>S0101</t>
        </is>
      </c>
      <c r="N331" t="inlineStr">
        <is>
          <t>Alcon Canada Inc.</t>
        </is>
      </c>
      <c r="Q331" t="inlineStr">
        <is>
          <t>Request For Advice</t>
        </is>
      </c>
    </row>
    <row r="332">
      <c r="A332" s="2">
        <f>HYPERLINK("https://www.cadth.ca/ciprofloxacin-hydrochloride-and-dexamethasone-otic-suspension-4", "Ciprodex")</f>
        <v>0</v>
      </c>
      <c r="B332" t="inlineStr">
        <is>
          <t>Ciprofloxacin hydrochloride and dexamethasone otic suspension</t>
        </is>
      </c>
      <c r="C332" t="inlineStr">
        <is>
          <t>Otitis media with otorrhea &amp; otitis externa, acute</t>
        </is>
      </c>
      <c r="D332" t="inlineStr">
        <is>
          <t>Do not list</t>
        </is>
      </c>
      <c r="E332" t="inlineStr">
        <is>
          <t>Complete</t>
        </is>
      </c>
      <c r="F332" s="3">
        <v>38149</v>
      </c>
      <c r="G332" s="3">
        <v>38378</v>
      </c>
      <c r="H332" t="inlineStr">
        <is>
          <t>S0014</t>
        </is>
      </c>
      <c r="N332" t="inlineStr">
        <is>
          <t>Alcon Canada Inc.</t>
        </is>
      </c>
      <c r="Q332" t="inlineStr">
        <is>
          <t>Initial</t>
        </is>
      </c>
    </row>
    <row r="333">
      <c r="A333" s="2">
        <f>HYPERLINK("https://www.cadth.ca/brimonidine-tartratetimolol-maleate-5", "Combigan Ophthalmic Solution")</f>
        <v>0</v>
      </c>
      <c r="B333" t="inlineStr">
        <is>
          <t>Brimonidine tartrate/timolol maleate</t>
        </is>
      </c>
      <c r="C333" t="inlineStr">
        <is>
          <t>Glaucoma</t>
        </is>
      </c>
      <c r="D333" t="inlineStr">
        <is>
          <t>List with clinical criteria and/or conditions</t>
        </is>
      </c>
      <c r="E333" t="inlineStr">
        <is>
          <t>Complete</t>
        </is>
      </c>
      <c r="F333" s="3">
        <v>37970</v>
      </c>
      <c r="G333" s="3">
        <v>38134</v>
      </c>
      <c r="H333" t="inlineStr">
        <is>
          <t>S0001</t>
        </is>
      </c>
      <c r="N333" t="inlineStr">
        <is>
          <t>Allergan Canada Inc.</t>
        </is>
      </c>
      <c r="Q333" t="inlineStr">
        <is>
          <t>Initial</t>
        </is>
      </c>
    </row>
    <row r="334">
      <c r="A334" s="2">
        <f>HYPERLINK("https://www.cadth.ca/emtricitabine-rilpivirine-tenofovir-disoproxil-fumarate-6", "COMPLERA")</f>
        <v>0</v>
      </c>
      <c r="B334" t="inlineStr">
        <is>
          <t>Emtricitabine/ rilpivirine/ tenofovir disoproxil fumarate</t>
        </is>
      </c>
      <c r="C334" t="inlineStr">
        <is>
          <t>HIV-1 infection in antiretroviral treatment- naïve adults</t>
        </is>
      </c>
      <c r="D334" t="inlineStr">
        <is>
          <t>List</t>
        </is>
      </c>
      <c r="E334" t="inlineStr">
        <is>
          <t>Complete</t>
        </is>
      </c>
      <c r="F334" s="3">
        <v>40835</v>
      </c>
      <c r="G334" s="3">
        <v>41018</v>
      </c>
      <c r="H334" t="inlineStr">
        <is>
          <t>S0256</t>
        </is>
      </c>
      <c r="N334" t="inlineStr">
        <is>
          <t>Gilead Science Canada Ltd.</t>
        </is>
      </c>
      <c r="Q334" t="inlineStr">
        <is>
          <t>Initial</t>
        </is>
      </c>
    </row>
    <row r="335">
      <c r="A335" s="2">
        <f>HYPERLINK("https://www.cadth.ca/linaclotide-4", "Constella")</f>
        <v>0</v>
      </c>
      <c r="B335" t="inlineStr">
        <is>
          <t>Linaclotide</t>
        </is>
      </c>
      <c r="C335" t="inlineStr">
        <is>
          <t>Irritable bowel syndrome with constipation</t>
        </is>
      </c>
      <c r="D335" t="inlineStr">
        <is>
          <t>Do not list</t>
        </is>
      </c>
      <c r="E335" t="inlineStr">
        <is>
          <t>Complete</t>
        </is>
      </c>
      <c r="F335" s="3">
        <v>41990</v>
      </c>
      <c r="G335" s="3">
        <v>42270</v>
      </c>
      <c r="H335" t="inlineStr">
        <is>
          <t>SR0409-000</t>
        </is>
      </c>
      <c r="N335" t="inlineStr">
        <is>
          <t>Actavis Specialty Pharmaceuticals Co.</t>
        </is>
      </c>
      <c r="Q335" t="inlineStr">
        <is>
          <t>Initial</t>
        </is>
      </c>
    </row>
    <row r="336">
      <c r="A336" s="2">
        <f>HYPERLINK("https://www.cadth.ca/naltrexone-hydrochloride-and-bupropion-hydrochloride", "Contrave")</f>
        <v>0</v>
      </c>
      <c r="B336" t="inlineStr">
        <is>
          <t>naltrexone hydrochloride and bupropion hydrochloride</t>
        </is>
      </c>
      <c r="C336" t="inlineStr">
        <is>
          <t>Chronic weight management in adults</t>
        </is>
      </c>
      <c r="D336" t="inlineStr">
        <is>
          <t>Do not reimburse</t>
        </is>
      </c>
      <c r="E336" t="inlineStr">
        <is>
          <t>Complete</t>
        </is>
      </c>
      <c r="F336" s="3">
        <v>43586</v>
      </c>
      <c r="G336" s="3">
        <v>43978</v>
      </c>
      <c r="H336" t="inlineStr">
        <is>
          <t>SR0610-000</t>
        </is>
      </c>
      <c r="N336" t="inlineStr">
        <is>
          <t>Bausch Health, Canada Inc.</t>
        </is>
      </c>
      <c r="Q336" t="inlineStr">
        <is>
          <t>Initial</t>
        </is>
      </c>
    </row>
    <row r="337">
      <c r="A337" s="2">
        <f>HYPERLINK("https://www.cadth.ca/glatiramer-acetate-6", "Copaxone")</f>
        <v>0</v>
      </c>
      <c r="B337" t="inlineStr">
        <is>
          <t>Glatiramer acetate</t>
        </is>
      </c>
      <c r="C337" t="inlineStr">
        <is>
          <t>Clinically Isolated Syndrome (CIS), suggestive of Multiple Sclerosis</t>
        </is>
      </c>
      <c r="D337" t="inlineStr">
        <is>
          <t>Do not list</t>
        </is>
      </c>
      <c r="E337" t="inlineStr">
        <is>
          <t>Complete</t>
        </is>
      </c>
      <c r="F337" s="3">
        <v>39932</v>
      </c>
      <c r="G337" s="3">
        <v>40142</v>
      </c>
      <c r="H337" t="inlineStr">
        <is>
          <t>S0164</t>
        </is>
      </c>
      <c r="N337" t="inlineStr">
        <is>
          <t>Teva Pharmaceutical Industries Ltd.</t>
        </is>
      </c>
      <c r="Q337" t="inlineStr">
        <is>
          <t>New Indication</t>
        </is>
      </c>
    </row>
    <row r="338">
      <c r="A338" s="2">
        <f>HYPERLINK("https://www.cadth.ca/budesonide", "Cortiment")</f>
        <v>0</v>
      </c>
      <c r="B338" t="inlineStr">
        <is>
          <t>Budesonide</t>
        </is>
      </c>
      <c r="C338" t="inlineStr">
        <is>
          <t>Ulcerative  Colitis</t>
        </is>
      </c>
      <c r="D338" t="inlineStr">
        <is>
          <t>Do not reimburse</t>
        </is>
      </c>
      <c r="E338" t="inlineStr">
        <is>
          <t>Complete</t>
        </is>
      </c>
      <c r="F338" s="3">
        <v>42514</v>
      </c>
      <c r="G338" s="3">
        <v>42816</v>
      </c>
      <c r="H338" t="inlineStr">
        <is>
          <t>SR0491-000</t>
        </is>
      </c>
      <c r="N338" t="inlineStr">
        <is>
          <t>Ferring Inc.</t>
        </is>
      </c>
      <c r="Q338" t="inlineStr">
        <is>
          <t>New Indication</t>
        </is>
      </c>
    </row>
    <row r="339">
      <c r="A339" s="2">
        <f>HYPERLINK("https://www.cadth.ca/secukinumab-6", "Cosentyx")</f>
        <v>0</v>
      </c>
      <c r="B339" t="inlineStr">
        <is>
          <t>Secukinumab</t>
        </is>
      </c>
      <c r="C339" t="inlineStr">
        <is>
          <t>Arthritis, psoriatic</t>
        </is>
      </c>
      <c r="D339" t="inlineStr">
        <is>
          <t>Reimburse with clinical criteria and/or conditions</t>
        </is>
      </c>
      <c r="E339" t="inlineStr">
        <is>
          <t>Complete</t>
        </is>
      </c>
      <c r="F339" s="3">
        <v>42419</v>
      </c>
      <c r="G339" s="3">
        <v>42605</v>
      </c>
      <c r="H339" t="inlineStr">
        <is>
          <t>SR0476-000</t>
        </is>
      </c>
      <c r="N339" t="inlineStr">
        <is>
          <t>Novartis Pharmaceuticals Canada Inc.</t>
        </is>
      </c>
      <c r="Q339" t="inlineStr">
        <is>
          <t>Initial</t>
        </is>
      </c>
    </row>
    <row r="340">
      <c r="A340" s="2">
        <f>HYPERLINK("https://www.cadth.ca/secukinumab-4", "Cosentyx")</f>
        <v>0</v>
      </c>
      <c r="B340" t="inlineStr">
        <is>
          <t>Secukinumab</t>
        </is>
      </c>
      <c r="C340" t="inlineStr">
        <is>
          <t>Psoriasis, moderate to severe plaque</t>
        </is>
      </c>
      <c r="D340" t="inlineStr">
        <is>
          <t>List with criteria/condition</t>
        </is>
      </c>
      <c r="E340" t="inlineStr">
        <is>
          <t>Complete</t>
        </is>
      </c>
      <c r="F340" s="3">
        <v>41981</v>
      </c>
      <c r="G340" s="3">
        <v>42305</v>
      </c>
      <c r="H340" t="inlineStr">
        <is>
          <t>SR0407-000</t>
        </is>
      </c>
      <c r="N340" t="inlineStr">
        <is>
          <t>Novartis Pharmaceuticals Canada Inc.</t>
        </is>
      </c>
      <c r="Q340" t="inlineStr">
        <is>
          <t>Pre-NOC</t>
        </is>
      </c>
    </row>
    <row r="341">
      <c r="A341" s="2">
        <f>HYPERLINK("https://www.cadth.ca/secukinumab-5", "Cosentyx")</f>
        <v>0</v>
      </c>
      <c r="B341" t="inlineStr">
        <is>
          <t>Secukinumab</t>
        </is>
      </c>
      <c r="C341" t="inlineStr">
        <is>
          <t>Ankylosing spondylitis</t>
        </is>
      </c>
      <c r="D341" t="inlineStr">
        <is>
          <t>Reimburse with clinical criteria and/or conditions</t>
        </is>
      </c>
      <c r="E341" t="inlineStr">
        <is>
          <t>Complete</t>
        </is>
      </c>
      <c r="F341" s="3">
        <v>42419</v>
      </c>
      <c r="G341" s="3">
        <v>42605</v>
      </c>
      <c r="H341" t="inlineStr">
        <is>
          <t>SR0475-000</t>
        </is>
      </c>
      <c r="N341" t="inlineStr">
        <is>
          <t>Novartis Pharmaceuticals Canada Inc.</t>
        </is>
      </c>
      <c r="Q341" t="inlineStr">
        <is>
          <t>Initial</t>
        </is>
      </c>
    </row>
    <row r="342">
      <c r="A342" s="2">
        <f>HYPERLINK("https://www.cadth.ca/tapentadol-S0224", "Nucynta CR")</f>
        <v>0</v>
      </c>
      <c r="B342" t="inlineStr">
        <is>
          <t>Tapentadol</t>
        </is>
      </c>
      <c r="C342" t="inlineStr">
        <is>
          <t>Pain, moderate to moderately severe</t>
        </is>
      </c>
      <c r="D342" t="inlineStr">
        <is>
          <t>Do not list</t>
        </is>
      </c>
      <c r="E342" t="inlineStr">
        <is>
          <t>Complete</t>
        </is>
      </c>
      <c r="F342" s="3">
        <v>40575</v>
      </c>
      <c r="G342" s="3">
        <v>40814</v>
      </c>
      <c r="H342" t="inlineStr">
        <is>
          <t>S0224</t>
        </is>
      </c>
      <c r="N342" t="inlineStr">
        <is>
          <t>Janssen Inc.</t>
        </is>
      </c>
      <c r="Q342" t="inlineStr">
        <is>
          <t>Initial</t>
        </is>
      </c>
    </row>
    <row r="343">
      <c r="A343" s="2">
        <f>HYPERLINK("https://www.cadth.ca/isavuconazole", "Cresemba")</f>
        <v>0</v>
      </c>
      <c r="B343" t="inlineStr">
        <is>
          <t>isavuconazole</t>
        </is>
      </c>
      <c r="C343" t="inlineStr">
        <is>
          <t>Treatment of invasive aspergillosis and mucormycosis</t>
        </is>
      </c>
      <c r="D343" t="inlineStr">
        <is>
          <t>Reimburse with clinical criteria and/or conditions</t>
        </is>
      </c>
      <c r="E343" t="inlineStr">
        <is>
          <t>Complete</t>
        </is>
      </c>
      <c r="F343" s="3">
        <v>43406</v>
      </c>
      <c r="G343" s="3">
        <v>43600</v>
      </c>
      <c r="H343" t="inlineStr">
        <is>
          <t>SR0586-000</t>
        </is>
      </c>
      <c r="N343" t="inlineStr">
        <is>
          <t>AVIR Pharma Inc.</t>
        </is>
      </c>
      <c r="Q343" t="inlineStr">
        <is>
          <t>Initial</t>
        </is>
      </c>
    </row>
    <row r="344">
      <c r="A344" s="2">
        <f>HYPERLINK("https://www.cadth.ca/burosumab", "Crysvita")</f>
        <v>0</v>
      </c>
      <c r="B344" t="inlineStr">
        <is>
          <t>burosumab</t>
        </is>
      </c>
      <c r="C344" t="inlineStr">
        <is>
          <t>Treatment of X-Linked Hypophosphatemia</t>
        </is>
      </c>
      <c r="D344" t="inlineStr">
        <is>
          <t>Reimburse with clinical criteria and/or conditions</t>
        </is>
      </c>
      <c r="E344" t="inlineStr">
        <is>
          <t>Complete</t>
        </is>
      </c>
      <c r="F344" s="3">
        <v>43669</v>
      </c>
      <c r="G344" s="3">
        <v>43978</v>
      </c>
      <c r="H344" t="inlineStr">
        <is>
          <t>SR0602-000</t>
        </is>
      </c>
      <c r="N344" t="inlineStr">
        <is>
          <t>Kyowa Kirin Limited</t>
        </is>
      </c>
      <c r="Q344" t="inlineStr">
        <is>
          <t>Initial</t>
        </is>
      </c>
    </row>
    <row r="345">
      <c r="A345" s="2">
        <f>HYPERLINK("https://www.cadth.ca/daptomycin-6", "Cubicin")</f>
        <v>0</v>
      </c>
      <c r="B345" t="inlineStr">
        <is>
          <t>Daptomycin</t>
        </is>
      </c>
      <c r="C345" t="inlineStr">
        <is>
          <t>Skin and skin structure infections &amp; bacteremia</t>
        </is>
      </c>
      <c r="D345" t="inlineStr">
        <is>
          <t>Do not list</t>
        </is>
      </c>
      <c r="E345" t="inlineStr">
        <is>
          <t>Complete</t>
        </is>
      </c>
      <c r="F345" s="3">
        <v>39513</v>
      </c>
      <c r="G345" s="3">
        <v>39715</v>
      </c>
      <c r="H345" t="inlineStr">
        <is>
          <t>S0127</t>
        </is>
      </c>
      <c r="N345" t="inlineStr">
        <is>
          <t>Cubist Pharmaceuticals Inc.</t>
        </is>
      </c>
      <c r="Q345" t="inlineStr">
        <is>
          <t>Initial</t>
        </is>
      </c>
    </row>
    <row r="346">
      <c r="A346" s="2">
        <f>HYPERLINK("https://www.cadth.ca/glycopyrrolate", "Cuvposa")</f>
        <v>0</v>
      </c>
      <c r="B346" t="inlineStr">
        <is>
          <t>glycopyrrolate</t>
        </is>
      </c>
      <c r="C346" t="inlineStr">
        <is>
          <t>chronic severe drooling, neurologic (pediatric)</t>
        </is>
      </c>
      <c r="D346" t="inlineStr">
        <is>
          <t>Do not reimburse</t>
        </is>
      </c>
      <c r="E346" t="inlineStr">
        <is>
          <t>Complete</t>
        </is>
      </c>
      <c r="F346" s="3">
        <v>43616</v>
      </c>
      <c r="G346" s="3">
        <v>44006</v>
      </c>
      <c r="H346" t="inlineStr">
        <is>
          <t>SR0613-000</t>
        </is>
      </c>
      <c r="N346" t="inlineStr">
        <is>
          <t>MEDEXUS Pharmaceuticals, Inc.</t>
        </is>
      </c>
      <c r="Q346" t="inlineStr">
        <is>
          <t>Initial</t>
        </is>
      </c>
    </row>
    <row r="347">
      <c r="A347" s="2">
        <f>HYPERLINK("https://www.cadth.ca/duloxetine-hydrochloride-14", "Cymbalta")</f>
        <v>0</v>
      </c>
      <c r="B347" t="inlineStr">
        <is>
          <t>Duloxetine hydrochloride</t>
        </is>
      </c>
      <c r="C347" t="inlineStr">
        <is>
          <t>Depressive, Major Disorder (MDD)</t>
        </is>
      </c>
      <c r="D347" t="inlineStr">
        <is>
          <t>Do not list</t>
        </is>
      </c>
      <c r="E347" t="inlineStr">
        <is>
          <t>Complete</t>
        </is>
      </c>
      <c r="F347" s="3">
        <v>39486</v>
      </c>
      <c r="G347" s="3">
        <v>39674</v>
      </c>
      <c r="H347" t="inlineStr">
        <is>
          <t>S0125</t>
        </is>
      </c>
      <c r="N347" t="inlineStr">
        <is>
          <t>Eli Lilly Canada Inc.</t>
        </is>
      </c>
      <c r="Q347" t="inlineStr">
        <is>
          <t>Initial</t>
        </is>
      </c>
    </row>
    <row r="348">
      <c r="A348" s="2">
        <f>HYPERLINK("https://www.cadth.ca/duloxetine-hydrochloride-13", "Cymbalta")</f>
        <v>0</v>
      </c>
      <c r="B348" t="inlineStr">
        <is>
          <t>Duloxetine hydrochloride</t>
        </is>
      </c>
      <c r="C348" t="inlineStr">
        <is>
          <t>Pain, Neuropathic, Diabetic</t>
        </is>
      </c>
      <c r="D348" t="inlineStr">
        <is>
          <t>List with clinical criteria and/or conditions</t>
        </is>
      </c>
      <c r="E348" t="inlineStr">
        <is>
          <t>Complete</t>
        </is>
      </c>
      <c r="F348" s="3">
        <v>39486</v>
      </c>
      <c r="G348" s="3">
        <v>39674</v>
      </c>
      <c r="H348" t="inlineStr">
        <is>
          <t>S0126</t>
        </is>
      </c>
      <c r="N348" t="inlineStr">
        <is>
          <t>Eli Lilly Canada Inc.</t>
        </is>
      </c>
      <c r="Q348" t="inlineStr">
        <is>
          <t>Initial</t>
        </is>
      </c>
    </row>
    <row r="349">
      <c r="A349" s="2">
        <f>HYPERLINK("https://www.cadth.ca/cysteamine", "Cystadrops")</f>
        <v>0</v>
      </c>
      <c r="B349" t="inlineStr">
        <is>
          <t>cysteamine</t>
        </is>
      </c>
      <c r="C349" t="inlineStr">
        <is>
          <t>Corneal cystine crystal deposits</t>
        </is>
      </c>
      <c r="D349" t="inlineStr">
        <is>
          <t>Reimburse with clinical criteria and/or conditions</t>
        </is>
      </c>
      <c r="E349" t="inlineStr">
        <is>
          <t>Complete</t>
        </is>
      </c>
      <c r="F349" s="3">
        <v>43444</v>
      </c>
      <c r="G349" s="3">
        <v>43634</v>
      </c>
      <c r="H349" t="inlineStr">
        <is>
          <t>SR0595-000</t>
        </is>
      </c>
      <c r="N349" t="inlineStr">
        <is>
          <t>Recordati Rare Diseases Canada Inc.</t>
        </is>
      </c>
      <c r="Q349" t="inlineStr">
        <is>
          <t>Initial</t>
        </is>
      </c>
    </row>
    <row r="350">
      <c r="A350" s="2">
        <f>HYPERLINK("https://www.cadth.ca/daclatasvir-0", "Daklinza")</f>
        <v>0</v>
      </c>
      <c r="B350" t="inlineStr">
        <is>
          <t>daclatasvir</t>
        </is>
      </c>
      <c r="C350" t="inlineStr">
        <is>
          <t>Hepatitis C, chronic</t>
        </is>
      </c>
      <c r="D350" t="inlineStr">
        <is>
          <t>Reimburse with clinical criteria and/or conditions</t>
        </is>
      </c>
      <c r="E350" t="inlineStr">
        <is>
          <t>Complete</t>
        </is>
      </c>
      <c r="F350" s="3">
        <v>42375</v>
      </c>
      <c r="G350" s="3">
        <v>42509</v>
      </c>
      <c r="H350" t="inlineStr">
        <is>
          <t>SF0467-000</t>
        </is>
      </c>
      <c r="N350" t="inlineStr">
        <is>
          <t>Bristol Myers Squibb Canada Inc.</t>
        </is>
      </c>
      <c r="Q350" t="inlineStr">
        <is>
          <t>Request For Advice</t>
        </is>
      </c>
    </row>
    <row r="351">
      <c r="A351" s="2">
        <f>HYPERLINK("https://www.cadth.ca/daclatasvir", "Daklinza")</f>
        <v>0</v>
      </c>
      <c r="B351" t="inlineStr">
        <is>
          <t>Daclatasvir</t>
        </is>
      </c>
      <c r="C351" t="inlineStr">
        <is>
          <t>Hepatitis C, chronic</t>
        </is>
      </c>
      <c r="D351" t="inlineStr">
        <is>
          <t>List with clinical criteria and/or conditions</t>
        </is>
      </c>
      <c r="E351" t="inlineStr">
        <is>
          <t>Complete</t>
        </is>
      </c>
      <c r="F351" s="3">
        <v>42048</v>
      </c>
      <c r="G351" s="3">
        <v>42268</v>
      </c>
      <c r="H351" t="inlineStr">
        <is>
          <t>SR0417-000</t>
        </is>
      </c>
      <c r="N351" t="inlineStr">
        <is>
          <t>Bristol-Myers Squibb Canada Inc.</t>
        </is>
      </c>
      <c r="Q351" t="inlineStr">
        <is>
          <t>Pre-NOC</t>
        </is>
      </c>
    </row>
    <row r="352">
      <c r="A352" s="2">
        <f>HYPERLINK("https://www.cadth.ca/roflumilast-6", "Daxas")</f>
        <v>0</v>
      </c>
      <c r="B352" t="inlineStr">
        <is>
          <t>Roflumilast</t>
        </is>
      </c>
      <c r="C352" t="inlineStr">
        <is>
          <t>Chronic obstructive pulmonary disease (COPD)</t>
        </is>
      </c>
      <c r="D352" t="inlineStr">
        <is>
          <t>Do not list</t>
        </is>
      </c>
      <c r="E352" t="inlineStr">
        <is>
          <t>Complete</t>
        </is>
      </c>
      <c r="F352" s="3">
        <v>40512</v>
      </c>
      <c r="G352" s="3">
        <v>40751</v>
      </c>
      <c r="H352" t="inlineStr">
        <is>
          <t>S0218</t>
        </is>
      </c>
      <c r="N352" t="inlineStr">
        <is>
          <t>Nycomed Canada Inc.</t>
        </is>
      </c>
      <c r="Q352" t="inlineStr">
        <is>
          <t>Initial</t>
        </is>
      </c>
    </row>
    <row r="353">
      <c r="A353" s="2">
        <f>HYPERLINK("https://www.cadth.ca/doravirine-lamuvidine-tenofovir-disoproxil-fumarate", "Delstrigo")</f>
        <v>0</v>
      </c>
      <c r="B353" t="inlineStr">
        <is>
          <t>doravirine lamuvidine tenofovir disoproxil fumarate</t>
        </is>
      </c>
      <c r="C353" t="inlineStr">
        <is>
          <t>HIV-1 infection</t>
        </is>
      </c>
      <c r="D353" t="inlineStr">
        <is>
          <t>Reimburse with clinical criteria and/or conditions</t>
        </is>
      </c>
      <c r="E353" t="inlineStr">
        <is>
          <t>Complete</t>
        </is>
      </c>
      <c r="F353" s="3">
        <v>43420</v>
      </c>
      <c r="G353" s="3">
        <v>43599</v>
      </c>
      <c r="H353" t="inlineStr">
        <is>
          <t>SR0581-000</t>
        </is>
      </c>
      <c r="N353" t="inlineStr">
        <is>
          <t>Merck Canada Inc.</t>
        </is>
      </c>
      <c r="Q353" t="inlineStr">
        <is>
          <t>Initial</t>
        </is>
      </c>
    </row>
    <row r="354">
      <c r="A354" s="2">
        <f>HYPERLINK("https://www.cadth.ca/penciclovir-6", "Denavir")</f>
        <v>0</v>
      </c>
      <c r="B354" t="inlineStr">
        <is>
          <t>Penciclovir</t>
        </is>
      </c>
      <c r="C354" t="inlineStr">
        <is>
          <t>Herpes labialis (cold sores)</t>
        </is>
      </c>
      <c r="D354" t="inlineStr">
        <is>
          <t>Do not list</t>
        </is>
      </c>
      <c r="E354" t="inlineStr">
        <is>
          <t>Complete</t>
        </is>
      </c>
      <c r="F354" s="3">
        <v>38980</v>
      </c>
      <c r="G354" s="3">
        <v>39198</v>
      </c>
      <c r="H354" t="inlineStr">
        <is>
          <t>S0075</t>
        </is>
      </c>
      <c r="N354" t="inlineStr">
        <is>
          <t>Novartis Consumer Health Care Inc.</t>
        </is>
      </c>
      <c r="Q354" t="inlineStr">
        <is>
          <t>Initial</t>
        </is>
      </c>
    </row>
    <row r="355">
      <c r="A355" s="2">
        <f>HYPERLINK("https://www.cadth.ca/emtricitabine-tenofovir-alafenamide", "Descovy")</f>
        <v>0</v>
      </c>
      <c r="B355" t="inlineStr">
        <is>
          <t>Emtricitabine /tenofovir alafenamide</t>
        </is>
      </c>
      <c r="C355" t="inlineStr">
        <is>
          <t>HIV-1 infection</t>
        </is>
      </c>
      <c r="D355" t="inlineStr">
        <is>
          <t>Reimburse with clinical criteria and/or conditions</t>
        </is>
      </c>
      <c r="E355" t="inlineStr">
        <is>
          <t>Complete</t>
        </is>
      </c>
      <c r="F355" s="3">
        <v>42398</v>
      </c>
      <c r="G355" s="3">
        <v>42606</v>
      </c>
      <c r="H355" t="inlineStr">
        <is>
          <t>SR0470-000</t>
        </is>
      </c>
      <c r="N355" t="inlineStr">
        <is>
          <t>Gilead Sciences Canada, Inc.</t>
        </is>
      </c>
      <c r="Q355" t="inlineStr">
        <is>
          <t>Initial</t>
        </is>
      </c>
    </row>
    <row r="356">
      <c r="A356" s="2">
        <f>HYPERLINK("https://www.cadth.ca/stiripentol-6", "Diacomit")</f>
        <v>0</v>
      </c>
      <c r="B356" t="inlineStr">
        <is>
          <t>Stiripentol</t>
        </is>
      </c>
      <c r="C356" t="inlineStr">
        <is>
          <t>Dravet Syndrome</t>
        </is>
      </c>
      <c r="D356" t="inlineStr">
        <is>
          <t>List with criteria/condition</t>
        </is>
      </c>
      <c r="E356" t="inlineStr">
        <is>
          <t>Complete</t>
        </is>
      </c>
      <c r="F356" s="3">
        <v>41577</v>
      </c>
      <c r="G356" s="3">
        <v>41928</v>
      </c>
      <c r="H356" t="inlineStr">
        <is>
          <t>SR0360-000</t>
        </is>
      </c>
      <c r="N356" t="inlineStr">
        <is>
          <t>Biocodex</t>
        </is>
      </c>
      <c r="Q356" t="inlineStr">
        <is>
          <t>Initial</t>
        </is>
      </c>
    </row>
    <row r="357">
      <c r="A357" s="2">
        <f>HYPERLINK("https://www.cadth.ca/fidaxomicin-6", "Dificid")</f>
        <v>0</v>
      </c>
      <c r="B357" t="inlineStr">
        <is>
          <t>Fidaxomicin</t>
        </is>
      </c>
      <c r="C357" t="inlineStr">
        <is>
          <t>Clostridium difficile infection</t>
        </is>
      </c>
      <c r="D357" t="inlineStr">
        <is>
          <t>Do not list at the submitted price</t>
        </is>
      </c>
      <c r="E357" t="inlineStr">
        <is>
          <t>Complete</t>
        </is>
      </c>
      <c r="F357" s="3">
        <v>41100</v>
      </c>
      <c r="G357" s="3">
        <v>41262</v>
      </c>
      <c r="H357" t="inlineStr">
        <is>
          <t>SR0285</t>
        </is>
      </c>
      <c r="N357" t="inlineStr">
        <is>
          <t>Optimer Pharmaceuticals Canada, Inc.</t>
        </is>
      </c>
      <c r="Q357" t="inlineStr">
        <is>
          <t>Initial</t>
        </is>
      </c>
    </row>
    <row r="358">
      <c r="A358" s="2">
        <f>HYPERLINK("https://www.cadth.ca/dolutegravir-lamivudine", "Dovato")</f>
        <v>0</v>
      </c>
      <c r="B358" t="inlineStr">
        <is>
          <t>dolutegravir / lamivudine</t>
        </is>
      </c>
      <c r="C358" t="inlineStr">
        <is>
          <t>HIV-1 infection</t>
        </is>
      </c>
      <c r="D358" t="inlineStr">
        <is>
          <t>Reimburse with clinical criteria and/or conditions</t>
        </is>
      </c>
      <c r="E358" t="inlineStr">
        <is>
          <t>Complete</t>
        </is>
      </c>
      <c r="F358" s="3">
        <v>43517</v>
      </c>
      <c r="G358" s="3">
        <v>43738</v>
      </c>
      <c r="H358" t="inlineStr">
        <is>
          <t>SR0601-000</t>
        </is>
      </c>
      <c r="N358" t="inlineStr">
        <is>
          <t>ViiV Healthcare</t>
        </is>
      </c>
      <c r="Q358" t="inlineStr">
        <is>
          <t>Initial</t>
        </is>
      </c>
    </row>
    <row r="359">
      <c r="A359" s="2">
        <f>HYPERLINK("https://www.cadth.ca/aclidinium-bromideformoterol-fumarate-dihydrate", "Duaklir Genuair")</f>
        <v>0</v>
      </c>
      <c r="B359" t="inlineStr">
        <is>
          <t>Aclidinium bromide/formoterol fumarate dihydrate</t>
        </is>
      </c>
      <c r="C359" t="inlineStr">
        <is>
          <t>Chronic Obstructive Pulmonary Disease (COPD)</t>
        </is>
      </c>
      <c r="D359" t="inlineStr">
        <is>
          <t>List with clinical criteria and/or conditions</t>
        </is>
      </c>
      <c r="E359" t="inlineStr">
        <is>
          <t>Complete</t>
        </is>
      </c>
      <c r="F359" s="3">
        <v>42095</v>
      </c>
      <c r="G359" s="3">
        <v>42265</v>
      </c>
      <c r="H359" t="inlineStr">
        <is>
          <t>SR0423-000</t>
        </is>
      </c>
      <c r="N359" t="inlineStr">
        <is>
          <t>AstraZeneca Canada Inc.</t>
        </is>
      </c>
      <c r="Q359" t="inlineStr">
        <is>
          <t>Pre-NOC</t>
        </is>
      </c>
    </row>
    <row r="360">
      <c r="A360" s="2">
        <f>HYPERLINK("https://www.cadth.ca/halobetasol-propionate-and-tazarotene-0", "Duobrii")</f>
        <v>0</v>
      </c>
      <c r="B360" t="inlineStr">
        <is>
          <t>Halobetasol propionate and tazarotene</t>
        </is>
      </c>
      <c r="C360" t="inlineStr">
        <is>
          <t>Improving
the signs and symptoms of plaque psoriasis in adult patients with moderate to
severe plaque psoriasis.</t>
        </is>
      </c>
      <c r="E360" t="inlineStr">
        <is>
          <t>Active</t>
        </is>
      </c>
      <c r="F360" s="3">
        <v>43854</v>
      </c>
      <c r="G360" s="3">
        <v>44132</v>
      </c>
      <c r="H360" t="inlineStr">
        <is>
          <t>SR0638-000</t>
        </is>
      </c>
      <c r="N360" t="inlineStr">
        <is>
          <t>Bausch Health, Canada Inc.</t>
        </is>
      </c>
      <c r="Q360" t="inlineStr">
        <is>
          <t>Initial</t>
        </is>
      </c>
    </row>
    <row r="361">
      <c r="A361" s="2">
        <f>HYPERLINK("https://www.cadth.ca/levodopa-carbidopa-drug-plan-submission", "Duodopa")</f>
        <v>0</v>
      </c>
      <c r="B361" t="inlineStr">
        <is>
          <t>Levodopa / carbidopa (Drug Plan Submission)</t>
        </is>
      </c>
      <c r="C361" t="inlineStr">
        <is>
          <t>Parkinson's disease</t>
        </is>
      </c>
      <c r="D361" t="inlineStr">
        <is>
          <t>Reimburse with clinical criteria and/or conditions</t>
        </is>
      </c>
      <c r="E361" t="inlineStr">
        <is>
          <t>Complete</t>
        </is>
      </c>
      <c r="F361" s="3">
        <v>43139</v>
      </c>
      <c r="G361" s="3">
        <v>43334</v>
      </c>
      <c r="H361" t="inlineStr">
        <is>
          <t>SR0557-000</t>
        </is>
      </c>
      <c r="N361" t="inlineStr">
        <is>
          <t>AbbVie Corporation</t>
        </is>
      </c>
      <c r="Q361" t="inlineStr">
        <is>
          <t>Drug Plan Initiated</t>
        </is>
      </c>
    </row>
    <row r="362">
      <c r="A362" s="2">
        <f>HYPERLINK("https://www.cadth.ca/levodopa-carbidopa-6", "Duodopa")</f>
        <v>0</v>
      </c>
      <c r="B362" t="inlineStr">
        <is>
          <t>Levodopa / carbidopa</t>
        </is>
      </c>
      <c r="C362" t="inlineStr">
        <is>
          <t>Parkinson's disease</t>
        </is>
      </c>
      <c r="D362" t="inlineStr">
        <is>
          <t>Do not list</t>
        </is>
      </c>
      <c r="E362" t="inlineStr">
        <is>
          <t>Complete</t>
        </is>
      </c>
      <c r="F362" s="3">
        <v>39801</v>
      </c>
      <c r="G362" s="3">
        <v>40016</v>
      </c>
      <c r="H362" t="inlineStr">
        <is>
          <t>S0154</t>
        </is>
      </c>
      <c r="N362" t="inlineStr">
        <is>
          <t>Solvay Pharma Inc.</t>
        </is>
      </c>
      <c r="Q362" t="inlineStr">
        <is>
          <t>Initial</t>
        </is>
      </c>
    </row>
    <row r="363">
      <c r="A363" s="2">
        <f>HYPERLINK("https://www.cadth.ca/travoprost-and-timolol-maleate-6", "DuoTrav")</f>
        <v>0</v>
      </c>
      <c r="B363" t="inlineStr">
        <is>
          <t>Travoprost and timolol maleate</t>
        </is>
      </c>
      <c r="C363" t="inlineStr">
        <is>
          <t>Glaucoma</t>
        </is>
      </c>
      <c r="D363" t="inlineStr">
        <is>
          <t>List with clinical criteria and/or conditions</t>
        </is>
      </c>
      <c r="E363" t="inlineStr">
        <is>
          <t>Complete</t>
        </is>
      </c>
      <c r="F363" s="3">
        <v>38800</v>
      </c>
      <c r="G363" s="3">
        <v>38953</v>
      </c>
      <c r="H363" t="inlineStr">
        <is>
          <t>S0057</t>
        </is>
      </c>
      <c r="N363" t="inlineStr">
        <is>
          <t>Alcon Canada Inc.</t>
        </is>
      </c>
      <c r="Q363" t="inlineStr">
        <is>
          <t>Initial</t>
        </is>
      </c>
    </row>
    <row r="364">
      <c r="A364" s="2">
        <f>HYPERLINK("https://www.cadth.ca/dupilumab", "Dupixent")</f>
        <v>0</v>
      </c>
      <c r="B364" t="inlineStr">
        <is>
          <t>dupilumab</t>
        </is>
      </c>
      <c r="C364" t="inlineStr">
        <is>
          <t>atopic dermatitis</t>
        </is>
      </c>
      <c r="D364" t="inlineStr">
        <is>
          <t>Do not reimburse</t>
        </is>
      </c>
      <c r="E364" t="inlineStr">
        <is>
          <t>Complete</t>
        </is>
      </c>
      <c r="F364" s="3">
        <v>43035</v>
      </c>
      <c r="G364" s="3">
        <v>43278</v>
      </c>
      <c r="H364" t="inlineStr">
        <is>
          <t>SR0533-000</t>
        </is>
      </c>
      <c r="N364" t="inlineStr">
        <is>
          <t>Sanofi-Genzyme</t>
        </is>
      </c>
      <c r="Q364" t="inlineStr">
        <is>
          <t>Initial</t>
        </is>
      </c>
    </row>
    <row r="365">
      <c r="A365" s="2">
        <f>HYPERLINK("https://www.cadth.ca/dupilumab-0", "Dupixent")</f>
        <v>0</v>
      </c>
      <c r="B365" t="inlineStr">
        <is>
          <t>dupilumab</t>
        </is>
      </c>
      <c r="C365" t="inlineStr">
        <is>
          <t>atopic dermatitis</t>
        </is>
      </c>
      <c r="D365" t="inlineStr">
        <is>
          <t>Reimburse with clinical criteria and/or conditions</t>
        </is>
      </c>
      <c r="E365" t="inlineStr">
        <is>
          <t>Complete</t>
        </is>
      </c>
      <c r="F365" s="3">
        <v>43760</v>
      </c>
      <c r="G365" s="3">
        <v>43943</v>
      </c>
      <c r="H365" t="inlineStr">
        <is>
          <t>SR0636-000</t>
        </is>
      </c>
      <c r="N365" t="inlineStr">
        <is>
          <t>Sanofi Genzyme, a division of sanofi-aventis Canada Inc.</t>
        </is>
      </c>
      <c r="Q365" t="inlineStr">
        <is>
          <t>Initial</t>
        </is>
      </c>
    </row>
    <row r="366">
      <c r="A366" s="2">
        <f>HYPERLINK("https://www.cadth.ca/dupilumab-1", "Dupixent")</f>
        <v>0</v>
      </c>
      <c r="B366" t="inlineStr">
        <is>
          <t>dupilumab</t>
        </is>
      </c>
      <c r="C366" t="inlineStr">
        <is>
          <t>Indicated in adults and adolescents 12 years and older as an add-on maintenance treatment for moderate-to-severe asthma characterized by type 2 inflammation. Indicated as maintenance therapy to improve lung function. Indicated as maintenance therapy for oral corticosteroid-dependent asthma irrespective of type 2 inflammatory markers.</t>
        </is>
      </c>
      <c r="E366" t="inlineStr">
        <is>
          <t>Pending</t>
        </is>
      </c>
      <c r="H366" t="inlineStr">
        <is>
          <t>SR0667-000</t>
        </is>
      </c>
      <c r="N366" t="inlineStr">
        <is>
          <t>Sanofi Genzyme, a division of sanofi-aventis Canada Inc.</t>
        </is>
      </c>
      <c r="Q366" t="inlineStr">
        <is>
          <t>Initial</t>
        </is>
      </c>
    </row>
    <row r="367">
      <c r="A367" s="2">
        <f>HYPERLINK("https://www.cadth.ca/azelastine-hcl-and-fluticasone-propionate-4", "Dymista")</f>
        <v>0</v>
      </c>
      <c r="B367" t="inlineStr">
        <is>
          <t>Azelastine  HCl and fluticasone propionate</t>
        </is>
      </c>
      <c r="C367" t="inlineStr">
        <is>
          <t>Seasonal allergic rhinitis</t>
        </is>
      </c>
      <c r="D367" t="inlineStr">
        <is>
          <t>Do not list</t>
        </is>
      </c>
      <c r="E367" t="inlineStr">
        <is>
          <t>Complete</t>
        </is>
      </c>
      <c r="F367" s="3">
        <v>41982</v>
      </c>
      <c r="G367" s="3">
        <v>42172</v>
      </c>
      <c r="H367" t="inlineStr">
        <is>
          <t>SR0408-000</t>
        </is>
      </c>
      <c r="N367" t="inlineStr">
        <is>
          <t>Meda Pharmaceuticals Ltd.</t>
        </is>
      </c>
      <c r="Q367" t="inlineStr">
        <is>
          <t>Initial</t>
        </is>
      </c>
    </row>
    <row r="368">
      <c r="A368" s="2">
        <f>HYPERLINK("https://www.cadth.ca/abobotulinumtoxina-1", "Dysport Therapeutic")</f>
        <v>0</v>
      </c>
      <c r="B368" t="inlineStr">
        <is>
          <t>abobotulinumtoxinA</t>
        </is>
      </c>
      <c r="C368" t="inlineStr">
        <is>
          <t>lower limb spasticity</t>
        </is>
      </c>
      <c r="D368" t="inlineStr">
        <is>
          <t>Reimburse with clinical criteria and/or conditions</t>
        </is>
      </c>
      <c r="E368" t="inlineStr">
        <is>
          <t>Complete</t>
        </is>
      </c>
      <c r="F368" s="3">
        <v>43138</v>
      </c>
      <c r="G368" s="3">
        <v>43335</v>
      </c>
      <c r="H368" t="inlineStr">
        <is>
          <t>SR0556-000</t>
        </is>
      </c>
      <c r="N368" t="inlineStr">
        <is>
          <t>Ipsen Biopharmaceuticals Canada Inc.</t>
        </is>
      </c>
      <c r="Q368" t="inlineStr">
        <is>
          <t>New Indication</t>
        </is>
      </c>
    </row>
    <row r="369">
      <c r="A369" s="2">
        <f>HYPERLINK("https://www.cadth.ca/abobotulinumtoxina", "Dysport Therapeutic")</f>
        <v>0</v>
      </c>
      <c r="B369" t="inlineStr">
        <is>
          <t>abobotulinumtoxinA</t>
        </is>
      </c>
      <c r="C369" t="inlineStr">
        <is>
          <t>Upper limb spasticity</t>
        </is>
      </c>
      <c r="D369" t="inlineStr">
        <is>
          <t>Reimburse with clinical criteria and/or conditions</t>
        </is>
      </c>
      <c r="E369" t="inlineStr">
        <is>
          <t>Complete</t>
        </is>
      </c>
      <c r="F369" s="3">
        <v>42849</v>
      </c>
      <c r="G369" s="3">
        <v>43032</v>
      </c>
      <c r="H369" t="inlineStr">
        <is>
          <t>SR0517-000</t>
        </is>
      </c>
      <c r="N369" t="inlineStr">
        <is>
          <t>IPSEN Biopharmaceuticals Canada, Inc.</t>
        </is>
      </c>
      <c r="Q369" t="inlineStr">
        <is>
          <t>New Indication</t>
        </is>
      </c>
    </row>
    <row r="370">
      <c r="A370" s="2">
        <f>HYPERLINK("https://www.cadth.ca/abobotulinumtoxina-0", "Dysport Therapeutic")</f>
        <v>0</v>
      </c>
      <c r="B370" t="inlineStr">
        <is>
          <t>abobotulinumtoxinA</t>
        </is>
      </c>
      <c r="C370" t="inlineStr">
        <is>
          <t>Cervical dystonia</t>
        </is>
      </c>
      <c r="D370" t="inlineStr">
        <is>
          <t>Reimburse with clinical criteria and/or conditions</t>
        </is>
      </c>
      <c r="E370" t="inlineStr">
        <is>
          <t>Complete</t>
        </is>
      </c>
      <c r="F370" s="3">
        <v>42766</v>
      </c>
      <c r="G370" s="3">
        <v>42942</v>
      </c>
      <c r="H370" t="inlineStr">
        <is>
          <t>SR0512-000</t>
        </is>
      </c>
      <c r="N370" t="inlineStr">
        <is>
          <t>IPSEN Biopharmaceuticals Canada, Inc.</t>
        </is>
      </c>
      <c r="Q370" t="inlineStr">
        <is>
          <t>Initial</t>
        </is>
      </c>
    </row>
    <row r="371">
      <c r="A371" s="2">
        <f>HYPERLINK("https://www.cadth.ca/memantine-hydrochloride-4", "Ebixa")</f>
        <v>0</v>
      </c>
      <c r="B371" t="inlineStr">
        <is>
          <t>Memantine hydrochloride</t>
        </is>
      </c>
      <c r="C371" t="inlineStr">
        <is>
          <t>Dementia (Alzheimer type), moderate to severe</t>
        </is>
      </c>
      <c r="D371" t="inlineStr">
        <is>
          <t>Do not list</t>
        </is>
      </c>
      <c r="E371" t="inlineStr">
        <is>
          <t>Complete</t>
        </is>
      </c>
      <c r="F371" s="3">
        <v>38342</v>
      </c>
      <c r="G371" s="3">
        <v>38679</v>
      </c>
      <c r="H371" t="inlineStr">
        <is>
          <t>S0025</t>
        </is>
      </c>
      <c r="N371" t="inlineStr">
        <is>
          <t>Lundbeck Canada Inc.</t>
        </is>
      </c>
      <c r="Q371" t="inlineStr">
        <is>
          <t>Initial</t>
        </is>
      </c>
    </row>
    <row r="372">
      <c r="A372" s="2">
        <f>HYPERLINK("https://www.cadth.ca/azilsartan-medoxomil-6", "Edarbi")</f>
        <v>0</v>
      </c>
      <c r="B372" t="inlineStr">
        <is>
          <t>Azilsartan medoxomil</t>
        </is>
      </c>
      <c r="C372" t="inlineStr">
        <is>
          <t>Hypertension, essential</t>
        </is>
      </c>
      <c r="D372" t="inlineStr">
        <is>
          <t>Do not list at the submitted price</t>
        </is>
      </c>
      <c r="E372" t="inlineStr">
        <is>
          <t>Complete</t>
        </is>
      </c>
      <c r="F372" s="3">
        <v>41341</v>
      </c>
      <c r="G372" s="3">
        <v>41564</v>
      </c>
      <c r="H372" t="inlineStr">
        <is>
          <t>SR0317</t>
        </is>
      </c>
      <c r="N372" t="inlineStr">
        <is>
          <t>Takeda Canada Inc.</t>
        </is>
      </c>
      <c r="Q372" t="inlineStr">
        <is>
          <t>Initial</t>
        </is>
      </c>
    </row>
    <row r="373">
      <c r="A373" s="2">
        <f>HYPERLINK("https://www.cadth.ca/azilsartan-medoxomil-chlorthalidone-6", "Edarbyclor")</f>
        <v>0</v>
      </c>
      <c r="B373" t="inlineStr">
        <is>
          <t>Azilsartan medoxomil + chlorthalidone</t>
        </is>
      </c>
      <c r="C373" t="inlineStr">
        <is>
          <t>Hypertension, essential</t>
        </is>
      </c>
      <c r="D373" t="inlineStr">
        <is>
          <t>Do not list</t>
        </is>
      </c>
      <c r="E373" t="inlineStr">
        <is>
          <t>Complete</t>
        </is>
      </c>
      <c r="F373" s="3">
        <v>41341</v>
      </c>
      <c r="G373" s="3">
        <v>41564</v>
      </c>
      <c r="H373" t="inlineStr">
        <is>
          <t>SR0318</t>
        </is>
      </c>
      <c r="N373" t="inlineStr">
        <is>
          <t>Takeda Canada Inc.</t>
        </is>
      </c>
      <c r="Q373" t="inlineStr">
        <is>
          <t>Initial</t>
        </is>
      </c>
    </row>
    <row r="374">
      <c r="A374" s="2">
        <f>HYPERLINK("https://www.cadth.ca/rilpivirine-6", "Edurant")</f>
        <v>0</v>
      </c>
      <c r="B374" t="inlineStr">
        <is>
          <t>Rilpivirine</t>
        </is>
      </c>
      <c r="C374" t="inlineStr">
        <is>
          <t>HIV (treatment - naive adult)</t>
        </is>
      </c>
      <c r="D374" t="inlineStr">
        <is>
          <t>List</t>
        </is>
      </c>
      <c r="E374" t="inlineStr">
        <is>
          <t>Complete</t>
        </is>
      </c>
      <c r="F374" s="3">
        <v>40753</v>
      </c>
      <c r="G374" s="3">
        <v>40954</v>
      </c>
      <c r="H374" t="inlineStr">
        <is>
          <t>S0243</t>
        </is>
      </c>
      <c r="N374" t="inlineStr">
        <is>
          <t>Janssen Inc.</t>
        </is>
      </c>
      <c r="Q374" t="inlineStr">
        <is>
          <t>Initial</t>
        </is>
      </c>
    </row>
    <row r="375">
      <c r="A375" s="2">
        <f>HYPERLINK("https://www.cadth.ca/prasugrel-6", "Effient")</f>
        <v>0</v>
      </c>
      <c r="B375" t="inlineStr">
        <is>
          <t>Prasugrel</t>
        </is>
      </c>
      <c r="C375" t="inlineStr">
        <is>
          <t>Acute Coronary Syndrome (ACS)</t>
        </is>
      </c>
      <c r="D375" t="inlineStr">
        <is>
          <t>Do not list</t>
        </is>
      </c>
      <c r="E375" t="inlineStr">
        <is>
          <t>Complete</t>
        </is>
      </c>
      <c r="F375" s="3">
        <v>40889</v>
      </c>
      <c r="G375" s="3">
        <v>41074</v>
      </c>
      <c r="H375" t="inlineStr">
        <is>
          <t>S0263</t>
        </is>
      </c>
      <c r="N375" t="inlineStr">
        <is>
          <t>Eli Lily Canada Inc.</t>
        </is>
      </c>
      <c r="Q375" t="inlineStr">
        <is>
          <t>Resubmission</t>
        </is>
      </c>
    </row>
    <row r="376">
      <c r="A376" s="2">
        <f>HYPERLINK("https://www.cadth.ca/prasugrel-hydrochloride-6", "Effient")</f>
        <v>0</v>
      </c>
      <c r="B376" t="inlineStr">
        <is>
          <t>Prasugrel hydrochloride</t>
        </is>
      </c>
      <c r="C376" t="inlineStr">
        <is>
          <t>Acute Coronary Syndrome (ACS)</t>
        </is>
      </c>
      <c r="D376" t="inlineStr">
        <is>
          <t>Do not list</t>
        </is>
      </c>
      <c r="E376" t="inlineStr">
        <is>
          <t>Complete</t>
        </is>
      </c>
      <c r="F376" s="3">
        <v>40303</v>
      </c>
      <c r="G376" s="3">
        <v>40590</v>
      </c>
      <c r="H376" t="inlineStr">
        <is>
          <t>S0200</t>
        </is>
      </c>
      <c r="N376" t="inlineStr">
        <is>
          <t>Eli Lilly Canada Inc.</t>
        </is>
      </c>
      <c r="Q376" t="inlineStr">
        <is>
          <t>Initial</t>
        </is>
      </c>
    </row>
    <row r="377">
      <c r="A377" s="2">
        <f>HYPERLINK("https://www.cadth.ca/tesamorelin", "Egrifta")</f>
        <v>0</v>
      </c>
      <c r="B377" t="inlineStr">
        <is>
          <t>Tesamorelin</t>
        </is>
      </c>
      <c r="C377" t="inlineStr">
        <is>
          <t>Lipodystrophy, HIV-infected patients</t>
        </is>
      </c>
      <c r="D377" t="inlineStr">
        <is>
          <t>Do not reimburse</t>
        </is>
      </c>
      <c r="E377" t="inlineStr">
        <is>
          <t>Complete</t>
        </is>
      </c>
      <c r="F377" s="3">
        <v>42431</v>
      </c>
      <c r="G377" s="3">
        <v>42606</v>
      </c>
      <c r="H377" t="inlineStr">
        <is>
          <t>SR0477-000</t>
        </is>
      </c>
      <c r="N377" t="inlineStr">
        <is>
          <t>Theratechnologies Inc.</t>
        </is>
      </c>
      <c r="Q377" t="inlineStr">
        <is>
          <t>Initial</t>
        </is>
      </c>
    </row>
    <row r="378">
      <c r="A378" s="2">
        <f>HYPERLINK("https://www.cadth.ca/idursulfase-6", "Elaprase")</f>
        <v>0</v>
      </c>
      <c r="B378" t="inlineStr">
        <is>
          <t>Idursulfase</t>
        </is>
      </c>
      <c r="C378" t="inlineStr">
        <is>
          <t>Mucopolysaccharidosis II (MPS II), Hunter Syndrome</t>
        </is>
      </c>
      <c r="D378" t="inlineStr">
        <is>
          <t>Do not list</t>
        </is>
      </c>
      <c r="E378" t="inlineStr">
        <is>
          <t>Complete</t>
        </is>
      </c>
      <c r="F378" s="3">
        <v>39276</v>
      </c>
      <c r="G378" s="3">
        <v>39435</v>
      </c>
      <c r="H378" t="inlineStr">
        <is>
          <t>S0104</t>
        </is>
      </c>
      <c r="N378" t="inlineStr">
        <is>
          <t>Shire Human Genetic Therapies, Inc.</t>
        </is>
      </c>
      <c r="Q378" t="inlineStr">
        <is>
          <t>Initial</t>
        </is>
      </c>
    </row>
    <row r="379">
      <c r="A379" s="2">
        <f>HYPERLINK("https://www.cadth.ca/taliglucerase-alfa-4", "Elelyso")</f>
        <v>0</v>
      </c>
      <c r="B379" t="inlineStr">
        <is>
          <t>Taliglucerase alfa</t>
        </is>
      </c>
      <c r="C379" t="inlineStr">
        <is>
          <t>Gaucher disease</t>
        </is>
      </c>
      <c r="D379" t="inlineStr">
        <is>
          <t>Do not list</t>
        </is>
      </c>
      <c r="E379" t="inlineStr">
        <is>
          <t>Complete</t>
        </is>
      </c>
      <c r="F379" s="3">
        <v>41866</v>
      </c>
      <c r="G379" s="3">
        <v>42305</v>
      </c>
      <c r="H379" t="inlineStr">
        <is>
          <t>SR0390</t>
        </is>
      </c>
      <c r="N379" t="inlineStr">
        <is>
          <t>Pfizer Canada Inc.</t>
        </is>
      </c>
      <c r="Q379" t="inlineStr">
        <is>
          <t>Initial</t>
        </is>
      </c>
    </row>
    <row r="380">
      <c r="A380" s="2">
        <f>HYPERLINK("https://www.cadth.ca/apixaban-19", "Eliquis")</f>
        <v>0</v>
      </c>
      <c r="B380" t="inlineStr">
        <is>
          <t>Apixaban</t>
        </is>
      </c>
      <c r="C380" t="inlineStr">
        <is>
          <t>Thromboembolic events prevention, (atrial fibrillation)</t>
        </is>
      </c>
      <c r="D380" t="inlineStr">
        <is>
          <t>List with clinical criteria and/or conditions</t>
        </is>
      </c>
      <c r="E380" t="inlineStr">
        <is>
          <t>Complete</t>
        </is>
      </c>
      <c r="F380" s="3">
        <v>41177</v>
      </c>
      <c r="G380" s="3">
        <v>41353</v>
      </c>
      <c r="H380" t="inlineStr">
        <is>
          <t>SR0288</t>
        </is>
      </c>
      <c r="N380" t="inlineStr">
        <is>
          <t>Bristol-Myers Squibb Canada and Pfizer Canada Inc. Alliance</t>
        </is>
      </c>
      <c r="Q380" t="inlineStr">
        <is>
          <t>New Indication</t>
        </is>
      </c>
    </row>
    <row r="381">
      <c r="A381" s="2">
        <f>HYPERLINK("https://www.cadth.ca/apixaban-18", "Eliquis")</f>
        <v>0</v>
      </c>
      <c r="B381" t="inlineStr">
        <is>
          <t>Apixaban</t>
        </is>
      </c>
      <c r="C381" t="inlineStr">
        <is>
          <t>Thromboembolic events, (venous) prevention</t>
        </is>
      </c>
      <c r="D381" t="inlineStr">
        <is>
          <t>List with clinical criteria and/or conditions</t>
        </is>
      </c>
      <c r="E381" t="inlineStr">
        <is>
          <t>Complete</t>
        </is>
      </c>
      <c r="F381" s="3">
        <v>40897</v>
      </c>
      <c r="G381" s="3">
        <v>41074</v>
      </c>
      <c r="H381" t="inlineStr">
        <is>
          <t>S0264</t>
        </is>
      </c>
      <c r="N381" t="inlineStr">
        <is>
          <t>Bristol-Myers Squibb and Pfizer Canada Alliance</t>
        </is>
      </c>
      <c r="Q381" t="inlineStr">
        <is>
          <t>Initial</t>
        </is>
      </c>
    </row>
    <row r="382">
      <c r="A382" s="2">
        <f>HYPERLINK("https://www.cadth.ca/apixaban-20", "Eliquis")</f>
        <v>0</v>
      </c>
      <c r="B382" t="inlineStr">
        <is>
          <t>Apixaban</t>
        </is>
      </c>
      <c r="C382" t="inlineStr">
        <is>
          <t>Thromboembolic events (venous), treatment and prevention of recurrence</t>
        </is>
      </c>
      <c r="D382" t="inlineStr">
        <is>
          <t>List with clinical criteria and/or conditions</t>
        </is>
      </c>
      <c r="E382" t="inlineStr">
        <is>
          <t>Complete</t>
        </is>
      </c>
      <c r="F382" s="3">
        <v>41900</v>
      </c>
      <c r="G382" s="3">
        <v>42131</v>
      </c>
      <c r="H382" t="inlineStr">
        <is>
          <t>SR0397-000</t>
        </is>
      </c>
      <c r="N382" t="inlineStr">
        <is>
          <t>Bristol-Myers Squibb Canada and Pfizer Canada Inc. Alliance</t>
        </is>
      </c>
      <c r="Q382" t="inlineStr">
        <is>
          <t>Pre-NOC</t>
        </is>
      </c>
    </row>
    <row r="383">
      <c r="A383" s="2">
        <f>HYPERLINK("https://www.cadth.ca/fluticasone-furoateumeclidiniumvilanterol", "Trelegy Ellipta")</f>
        <v>0</v>
      </c>
      <c r="B383" t="inlineStr">
        <is>
          <t>fluticasone furoate umeclidinium vilanterol</t>
        </is>
      </c>
      <c r="C383" t="inlineStr">
        <is>
          <t>Chronic obstructive pulmonary disease (COPD)</t>
        </is>
      </c>
      <c r="D383" t="inlineStr">
        <is>
          <t>Reimburse with clinical criteria and/or conditions</t>
        </is>
      </c>
      <c r="E383" t="inlineStr">
        <is>
          <t>Complete</t>
        </is>
      </c>
      <c r="F383" s="3">
        <v>43160</v>
      </c>
      <c r="G383" s="3">
        <v>43335</v>
      </c>
      <c r="H383" t="inlineStr">
        <is>
          <t>SR0562-000</t>
        </is>
      </c>
      <c r="N383" t="inlineStr">
        <is>
          <t>GlaxoSmithKline Inc.</t>
        </is>
      </c>
      <c r="Q383" t="inlineStr">
        <is>
          <t>New Combination</t>
        </is>
      </c>
    </row>
    <row r="384">
      <c r="A384" s="2">
        <f>HYPERLINK("https://www.cadth.ca/umeclidinium", "Incruse Ellipta")</f>
        <v>0</v>
      </c>
      <c r="B384" t="inlineStr">
        <is>
          <t>Umeclidinium</t>
        </is>
      </c>
      <c r="C384" t="inlineStr">
        <is>
          <t>Chronic Obstructive Pulmonary Disease (COPD)</t>
        </is>
      </c>
      <c r="D384" t="inlineStr">
        <is>
          <t>List with criteria/condition</t>
        </is>
      </c>
      <c r="E384" t="inlineStr">
        <is>
          <t>Complete</t>
        </is>
      </c>
      <c r="F384" s="3">
        <v>42067</v>
      </c>
      <c r="G384" s="3">
        <v>42265</v>
      </c>
      <c r="H384" t="inlineStr">
        <is>
          <t>SR0422-000</t>
        </is>
      </c>
      <c r="N384" t="inlineStr">
        <is>
          <t>GlaxoSmithKline Inc.</t>
        </is>
      </c>
      <c r="Q384" t="inlineStr">
        <is>
          <t>Initial</t>
        </is>
      </c>
    </row>
    <row r="385">
      <c r="A385" s="2">
        <f>HYPERLINK("https://www.cadth.ca/aprepitant-6", "Emend")</f>
        <v>0</v>
      </c>
      <c r="B385" t="inlineStr">
        <is>
          <t>Aprepitant</t>
        </is>
      </c>
      <c r="C385" t="inlineStr">
        <is>
          <t>Nausea and Vomiting, Chemotherapy induced</t>
        </is>
      </c>
      <c r="D385" t="inlineStr">
        <is>
          <t>List with clinical criteria and/or conditions</t>
        </is>
      </c>
      <c r="E385" t="inlineStr">
        <is>
          <t>Complete</t>
        </is>
      </c>
      <c r="F385" s="3">
        <v>39323</v>
      </c>
      <c r="G385" s="3">
        <v>39498</v>
      </c>
      <c r="H385" t="inlineStr">
        <is>
          <t>S0109</t>
        </is>
      </c>
      <c r="N385" t="inlineStr">
        <is>
          <t>Merck Frosst Canada Ltd.</t>
        </is>
      </c>
      <c r="Q385" t="inlineStr">
        <is>
          <t>Initial</t>
        </is>
      </c>
    </row>
    <row r="386">
      <c r="A386" s="2">
        <f>HYPERLINK("https://www.cadth.ca/cyclosporine-6", "Restasis ophthalmic emulsion")</f>
        <v>0</v>
      </c>
      <c r="B386" t="inlineStr">
        <is>
          <t>Cyclosporine</t>
        </is>
      </c>
      <c r="C386" t="inlineStr">
        <is>
          <t>Dry eye disease, Moderate to moderately severe</t>
        </is>
      </c>
      <c r="D386" t="inlineStr">
        <is>
          <t>Do not list</t>
        </is>
      </c>
      <c r="E386" t="inlineStr">
        <is>
          <t>Complete</t>
        </is>
      </c>
      <c r="F386" s="3">
        <v>40529</v>
      </c>
      <c r="G386" s="3">
        <v>40742</v>
      </c>
      <c r="H386" t="inlineStr">
        <is>
          <t>S0222</t>
        </is>
      </c>
      <c r="N386" t="inlineStr">
        <is>
          <t>Allergan Inc.</t>
        </is>
      </c>
      <c r="Q386" t="inlineStr">
        <is>
          <t>Initial</t>
        </is>
      </c>
    </row>
    <row r="387">
      <c r="A387" s="2">
        <f>HYPERLINK("https://www.cadth.ca/darifenacin-hydrobromide-14", "Enablex")</f>
        <v>0</v>
      </c>
      <c r="B387" t="inlineStr">
        <is>
          <t>Darifenacin hydrobromide</t>
        </is>
      </c>
      <c r="C387" t="inlineStr">
        <is>
          <t>Bladder, overactive</t>
        </is>
      </c>
      <c r="D387" t="inlineStr">
        <is>
          <t>List with clinical criteria and/or conditions</t>
        </is>
      </c>
      <c r="E387" t="inlineStr">
        <is>
          <t>Complete</t>
        </is>
      </c>
      <c r="F387" s="3">
        <v>39722</v>
      </c>
      <c r="G387" s="3">
        <v>39919</v>
      </c>
      <c r="H387" t="inlineStr">
        <is>
          <t>S0147</t>
        </is>
      </c>
      <c r="N387" t="inlineStr">
        <is>
          <t>Novartis Pharmaceuticals Canada Inc.</t>
        </is>
      </c>
      <c r="Q387" t="inlineStr">
        <is>
          <t>Resubmission</t>
        </is>
      </c>
    </row>
    <row r="388">
      <c r="A388" s="2">
        <f>HYPERLINK("https://www.cadth.ca/darifenacin-hydrobromide-13", "Enablex")</f>
        <v>0</v>
      </c>
      <c r="B388" t="inlineStr">
        <is>
          <t>Darifenacin hydrobromide</t>
        </is>
      </c>
      <c r="C388" t="inlineStr">
        <is>
          <t>Bladder, overactive</t>
        </is>
      </c>
      <c r="D388" t="inlineStr">
        <is>
          <t>Do not list</t>
        </is>
      </c>
      <c r="E388" t="inlineStr">
        <is>
          <t>Complete</t>
        </is>
      </c>
      <c r="F388" s="3">
        <v>38833</v>
      </c>
      <c r="G388" s="3">
        <v>39009</v>
      </c>
      <c r="H388" t="inlineStr">
        <is>
          <t>S0061</t>
        </is>
      </c>
      <c r="N388" t="inlineStr">
        <is>
          <t>Novartis Pharmaceuticals Canada Inc.</t>
        </is>
      </c>
      <c r="Q388" t="inlineStr">
        <is>
          <t>Initial</t>
        </is>
      </c>
    </row>
    <row r="389">
      <c r="A389" s="2">
        <f>HYPERLINK("https://www.cadth.ca/satralizumab", "Enspryng")</f>
        <v>0</v>
      </c>
      <c r="B389" t="inlineStr">
        <is>
          <t>satralizumab</t>
        </is>
      </c>
      <c r="C389" t="inlineStr">
        <is>
          <t>ENSPRYNG (satralizumab) is indicated as monotherapy or in combination with immunosuppressive therapy (IST) for the treatment of neuromyelitis optica spectrum disorders (NMOSD) in adult and adolescent patients who are anti-aquaporin 4 (AQP4) seropositive.  ENSPRYNG is not intended for acute treatment of an NMOSD relapse.</t>
        </is>
      </c>
      <c r="E389" t="inlineStr">
        <is>
          <t>Active</t>
        </is>
      </c>
      <c r="F389" s="3">
        <v>44126</v>
      </c>
      <c r="H389" t="inlineStr">
        <is>
          <t>SR0663-000</t>
        </is>
      </c>
      <c r="N389" t="inlineStr">
        <is>
          <t>Hoffmann-La Roche Limited</t>
        </is>
      </c>
      <c r="Q389" t="inlineStr">
        <is>
          <t>Initial</t>
        </is>
      </c>
    </row>
    <row r="390">
      <c r="A390" s="2">
        <f>HYPERLINK("https://www.cadth.ca/sacubitril-valsartan-SR0447", "Entresto")</f>
        <v>0</v>
      </c>
      <c r="B390" t="inlineStr">
        <is>
          <t>Sacubitril/valsartan</t>
        </is>
      </c>
      <c r="C390" t="inlineStr">
        <is>
          <t>Heart failure, NYHA class II or III</t>
        </is>
      </c>
      <c r="D390" t="inlineStr">
        <is>
          <t>List with clinical criteria and/or conditions</t>
        </is>
      </c>
      <c r="E390" t="inlineStr">
        <is>
          <t>Complete</t>
        </is>
      </c>
      <c r="F390" s="3">
        <v>42265</v>
      </c>
      <c r="G390" s="3">
        <v>42447</v>
      </c>
      <c r="H390" t="inlineStr">
        <is>
          <t>SR0447-000</t>
        </is>
      </c>
      <c r="N390" t="inlineStr">
        <is>
          <t>Novartis Pharmaceuticals Canada Inc.</t>
        </is>
      </c>
      <c r="Q390" t="inlineStr">
        <is>
          <t>Initial</t>
        </is>
      </c>
    </row>
    <row r="391">
      <c r="A391" s="2">
        <f>HYPERLINK("https://www.cadth.ca/sacubitrilvalsartan", "Entresto")</f>
        <v>0</v>
      </c>
      <c r="B391" t="inlineStr">
        <is>
          <t>sacubitril/valsartan</t>
        </is>
      </c>
      <c r="C391" t="inlineStr">
        <is>
          <t>Entresto is indicated for the treatment of heart failure with reduced ejection fraction (HFrEF) in patients with NYHA Class II or III, to reduce the incidence of cardiovascular death and heart failure hospitalisation. Entresto should be administered in combination 
with other heart failure therapies, in place of an angiotensin-converting enzyme inhibitor (ACEi) or angiotensin 
II receptor blocker (ARB). Entresto should be initiated, and up-titration conducted, by 
a physician experienced with the treatment of heart failure.</t>
        </is>
      </c>
      <c r="E391" t="inlineStr">
        <is>
          <t>Active</t>
        </is>
      </c>
      <c r="F391" s="3">
        <v>43973</v>
      </c>
      <c r="H391" t="inlineStr">
        <is>
          <t>SR0644-000</t>
        </is>
      </c>
      <c r="N391" t="inlineStr">
        <is>
          <t>Novartis Pharma Inc.</t>
        </is>
      </c>
      <c r="Q391" t="inlineStr">
        <is>
          <t>Resubmission</t>
        </is>
      </c>
    </row>
    <row r="392">
      <c r="A392" s="2">
        <f>HYPERLINK("https://www.cadth.ca/vedolizumab-2", "Entyvio")</f>
        <v>0</v>
      </c>
      <c r="B392" t="inlineStr">
        <is>
          <t>vedolizumab</t>
        </is>
      </c>
      <c r="C392" t="inlineStr">
        <is>
          <t>For the treatment of adult patients with moderately to severely active Crohn’s disease who have had an inadequate response with, lost response to, or were intolerant to immunomodulators or a TNFα antagonist; or have had an inadequate response, intolerance, or demonstrated dependence on corticosteroids.</t>
        </is>
      </c>
      <c r="E392" t="inlineStr">
        <is>
          <t>Active</t>
        </is>
      </c>
      <c r="F392" s="3">
        <v>44035</v>
      </c>
      <c r="H392" t="inlineStr">
        <is>
          <t>SR0647-000</t>
        </is>
      </c>
      <c r="N392" t="inlineStr">
        <is>
          <t>Takeda Canada Inc.</t>
        </is>
      </c>
      <c r="Q392" t="inlineStr">
        <is>
          <t>Initial</t>
        </is>
      </c>
    </row>
    <row r="393">
      <c r="A393" s="2">
        <f>HYPERLINK("https://www.cadth.ca/vedolizumab", "Entyvio")</f>
        <v>0</v>
      </c>
      <c r="B393" t="inlineStr">
        <is>
          <t>Vedolizumab</t>
        </is>
      </c>
      <c r="C393" t="inlineStr">
        <is>
          <t>Ulcerative Colitis</t>
        </is>
      </c>
      <c r="D393" t="inlineStr">
        <is>
          <t>List with clinical criteria and/or conditions</t>
        </is>
      </c>
      <c r="E393" t="inlineStr">
        <is>
          <t>Complete</t>
        </is>
      </c>
      <c r="F393" s="3">
        <v>42055</v>
      </c>
      <c r="G393" s="3">
        <v>42305</v>
      </c>
      <c r="H393" t="inlineStr">
        <is>
          <t>SR0421-000</t>
        </is>
      </c>
      <c r="N393" t="inlineStr">
        <is>
          <t>Takeda Canada Inc.</t>
        </is>
      </c>
      <c r="Q393" t="inlineStr">
        <is>
          <t>Initial</t>
        </is>
      </c>
    </row>
    <row r="394">
      <c r="A394" s="2">
        <f>HYPERLINK("https://www.cadth.ca/vedolizumab-0", "Entyvio")</f>
        <v>0</v>
      </c>
      <c r="B394" t="inlineStr">
        <is>
          <t>Vedolizumab</t>
        </is>
      </c>
      <c r="C394" t="inlineStr">
        <is>
          <t>Crohn’s disease</t>
        </is>
      </c>
      <c r="D394" t="inlineStr">
        <is>
          <t>Reimburse with clinical criteria and/or conditions</t>
        </is>
      </c>
      <c r="E394" t="inlineStr">
        <is>
          <t>Complete</t>
        </is>
      </c>
      <c r="F394" s="3">
        <v>42487</v>
      </c>
      <c r="G394" s="3">
        <v>42674</v>
      </c>
      <c r="H394" t="inlineStr">
        <is>
          <t>SR0487-000</t>
        </is>
      </c>
      <c r="N394" t="inlineStr">
        <is>
          <t>Takeda Canada Inc.</t>
        </is>
      </c>
      <c r="Q394" t="inlineStr">
        <is>
          <t>Initial</t>
        </is>
      </c>
    </row>
    <row r="395">
      <c r="A395" s="2">
        <f>HYPERLINK("https://www.cadth.ca/vedolizumab-1", "Entyvio")</f>
        <v>0</v>
      </c>
      <c r="B395" t="inlineStr">
        <is>
          <t>vedolizumab</t>
        </is>
      </c>
      <c r="C395" t="inlineStr">
        <is>
          <t>Ulcerative Colitis</t>
        </is>
      </c>
      <c r="D395" t="inlineStr">
        <is>
          <t>Reimburse with clinical criteria and/or conditions</t>
        </is>
      </c>
      <c r="E395" t="inlineStr">
        <is>
          <t>Complete</t>
        </is>
      </c>
      <c r="F395" s="3">
        <v>43790</v>
      </c>
      <c r="G395" s="3">
        <v>43970</v>
      </c>
      <c r="H395" t="inlineStr">
        <is>
          <t>SR0635-000</t>
        </is>
      </c>
      <c r="N395" t="inlineStr">
        <is>
          <t>Takeda Canada Inc.</t>
        </is>
      </c>
      <c r="Q395" t="inlineStr">
        <is>
          <t>Initial</t>
        </is>
      </c>
    </row>
    <row r="396">
      <c r="A396" s="2">
        <f>HYPERLINK("https://www.cadth.ca/sofosbuvir-velpatasvir", "Epclusa")</f>
        <v>0</v>
      </c>
      <c r="B396" t="inlineStr">
        <is>
          <t>Sofosbuvir/ velpatasvir</t>
        </is>
      </c>
      <c r="C396" t="inlineStr">
        <is>
          <t>Hepatitis C, chronic</t>
        </is>
      </c>
      <c r="D396" t="inlineStr">
        <is>
          <t>Reimburse with clinical criteria and/or conditions</t>
        </is>
      </c>
      <c r="E396" t="inlineStr">
        <is>
          <t>Complete</t>
        </is>
      </c>
      <c r="F396" s="3">
        <v>42482</v>
      </c>
      <c r="G396" s="3">
        <v>42669</v>
      </c>
      <c r="H396" t="inlineStr">
        <is>
          <t>SR0486-000</t>
        </is>
      </c>
      <c r="N396" t="inlineStr">
        <is>
          <t>Gilead Sciences Canada, Inc.</t>
        </is>
      </c>
      <c r="Q396" t="inlineStr">
        <is>
          <t>Initial</t>
        </is>
      </c>
    </row>
    <row r="397">
      <c r="A397" s="2">
        <f>HYPERLINK("https://www.cadth.ca/etanercept-0", "Erelzi")</f>
        <v>0</v>
      </c>
      <c r="B397" t="inlineStr">
        <is>
          <t>Etanercept</t>
        </is>
      </c>
      <c r="C397" t="inlineStr">
        <is>
          <t>Ankylosing spondylitis, polyarticular juvenile idiopathic arthritis,  rheumatoid arthritis</t>
        </is>
      </c>
      <c r="D397" t="inlineStr">
        <is>
          <t>Reimburse with clinical criteria and/or conditions</t>
        </is>
      </c>
      <c r="E397" t="inlineStr">
        <is>
          <t>Complete</t>
        </is>
      </c>
      <c r="F397" s="3">
        <v>42768</v>
      </c>
      <c r="G397" s="3">
        <v>42941</v>
      </c>
      <c r="H397" t="inlineStr">
        <is>
          <t>SE0513-000</t>
        </is>
      </c>
      <c r="N397" t="inlineStr">
        <is>
          <t>Sandoz Canada Inc.</t>
        </is>
      </c>
      <c r="Q397" t="inlineStr">
        <is>
          <t>Initial</t>
        </is>
      </c>
    </row>
    <row r="398">
      <c r="A398" s="2">
        <f>HYPERLINK("https://www.cadth.ca/pirfenidone-11", "Esbriet")</f>
        <v>0</v>
      </c>
      <c r="B398" t="inlineStr">
        <is>
          <t>Pirfenidone</t>
        </is>
      </c>
      <c r="C398" t="inlineStr">
        <is>
          <t>Pulmonary fibrosis (idiopathic, mild to moderate)</t>
        </is>
      </c>
      <c r="D398" t="inlineStr">
        <is>
          <t>Do not list</t>
        </is>
      </c>
      <c r="E398" t="inlineStr">
        <is>
          <t>Complete</t>
        </is>
      </c>
      <c r="F398" s="3">
        <v>41187</v>
      </c>
      <c r="G398" s="3">
        <v>41382</v>
      </c>
      <c r="H398" t="inlineStr">
        <is>
          <t>SR0292</t>
        </is>
      </c>
      <c r="N398" t="inlineStr">
        <is>
          <t>InterMune Canada Inc.</t>
        </is>
      </c>
      <c r="Q398" t="inlineStr">
        <is>
          <t>Initial</t>
        </is>
      </c>
    </row>
    <row r="399">
      <c r="A399" s="2">
        <f>HYPERLINK("https://www.cadth.ca/pirfenidone-12", "Esbriet")</f>
        <v>0</v>
      </c>
      <c r="B399" t="inlineStr">
        <is>
          <t>Pirfenidone</t>
        </is>
      </c>
      <c r="C399" t="inlineStr">
        <is>
          <t>Pulmonary fibrosis (idiopathic, mild to moderate)</t>
        </is>
      </c>
      <c r="D399" t="inlineStr">
        <is>
          <t>List with criteria/condition</t>
        </is>
      </c>
      <c r="E399" t="inlineStr">
        <is>
          <t>Complete</t>
        </is>
      </c>
      <c r="F399" s="3">
        <v>41880</v>
      </c>
      <c r="G399" s="3">
        <v>42109</v>
      </c>
      <c r="H399" t="inlineStr">
        <is>
          <t>SR0393</t>
        </is>
      </c>
      <c r="N399" t="inlineStr">
        <is>
          <t>Hoffmann-La Roche Ltd.</t>
        </is>
      </c>
      <c r="Q399" t="inlineStr">
        <is>
          <t>Resubmission</t>
        </is>
      </c>
    </row>
    <row r="400">
      <c r="A400" s="2">
        <f>HYPERLINK("https://www.cadth.ca/crisaborole", "Eucrisa")</f>
        <v>0</v>
      </c>
      <c r="B400" t="inlineStr">
        <is>
          <t>crisaborole</t>
        </is>
      </c>
      <c r="C400" t="inlineStr">
        <is>
          <t>atopic dermatitis</t>
        </is>
      </c>
      <c r="D400" t="inlineStr">
        <is>
          <t>Do not reimburse</t>
        </is>
      </c>
      <c r="E400" t="inlineStr">
        <is>
          <t>Complete</t>
        </is>
      </c>
      <c r="F400" s="3">
        <v>43245</v>
      </c>
      <c r="G400" s="3">
        <v>43551</v>
      </c>
      <c r="H400" t="inlineStr">
        <is>
          <t>SR0570-000</t>
        </is>
      </c>
      <c r="N400" t="inlineStr">
        <is>
          <t>Pfizer Canada Inc.</t>
        </is>
      </c>
      <c r="Q400" t="inlineStr">
        <is>
          <t>Initial</t>
        </is>
      </c>
    </row>
    <row r="401">
      <c r="A401" s="2">
        <f>HYPERLINK("https://www.cadth.ca/norgelestrominethinyl-estradiol-4", "Evra")</f>
        <v>0</v>
      </c>
      <c r="B401" t="inlineStr">
        <is>
          <t>Norgelestromin/ethinyl estradiol</t>
        </is>
      </c>
      <c r="C401" t="inlineStr">
        <is>
          <t>Contraceptive, patch</t>
        </is>
      </c>
      <c r="D401" t="inlineStr">
        <is>
          <t>Do not list</t>
        </is>
      </c>
      <c r="E401" t="inlineStr">
        <is>
          <t>Complete</t>
        </is>
      </c>
      <c r="F401" s="3">
        <v>37974</v>
      </c>
      <c r="G401" s="3">
        <v>38161</v>
      </c>
      <c r="H401" t="inlineStr">
        <is>
          <t>S0004</t>
        </is>
      </c>
      <c r="N401" t="inlineStr">
        <is>
          <t>Janssen-Ortho Inc.</t>
        </is>
      </c>
      <c r="Q401" t="inlineStr">
        <is>
          <t>Initial</t>
        </is>
      </c>
    </row>
    <row r="402">
      <c r="A402" s="2">
        <f>HYPERLINK("https://www.cadth.ca/rivastigmine-6", "Exelon Patch")</f>
        <v>0</v>
      </c>
      <c r="B402" t="inlineStr">
        <is>
          <t>Rivastigmine</t>
        </is>
      </c>
      <c r="C402" t="inlineStr">
        <is>
          <t>Dementia (Alzheimer's type)</t>
        </is>
      </c>
      <c r="D402" t="inlineStr">
        <is>
          <t>Do not list</t>
        </is>
      </c>
      <c r="E402" t="inlineStr">
        <is>
          <t>Complete</t>
        </is>
      </c>
      <c r="F402" s="3">
        <v>39437</v>
      </c>
      <c r="G402" s="3">
        <v>39652</v>
      </c>
      <c r="H402" t="inlineStr">
        <is>
          <t>S0123</t>
        </is>
      </c>
      <c r="N402" t="inlineStr">
        <is>
          <t>Novartis Pharmaceuticals Canada Inc.</t>
        </is>
      </c>
      <c r="Q402" t="inlineStr">
        <is>
          <t>Initial</t>
        </is>
      </c>
    </row>
    <row r="403">
      <c r="A403" s="2">
        <f>HYPERLINK("https://www.cadth.ca/deferasirox-6", "Exjade")</f>
        <v>0</v>
      </c>
      <c r="B403" t="inlineStr">
        <is>
          <t>Deferasirox</t>
        </is>
      </c>
      <c r="C403" t="inlineStr">
        <is>
          <t>Iron overload</t>
        </is>
      </c>
      <c r="D403" t="inlineStr">
        <is>
          <t>List with clinical criteria and/or conditions</t>
        </is>
      </c>
      <c r="E403" t="inlineStr">
        <is>
          <t>Complete</t>
        </is>
      </c>
      <c r="F403" s="3">
        <v>39016</v>
      </c>
      <c r="G403" s="3">
        <v>39191</v>
      </c>
      <c r="H403" t="inlineStr">
        <is>
          <t>S0081</t>
        </is>
      </c>
      <c r="N403" t="inlineStr">
        <is>
          <t>Novartis Pharmaceuticals Canada Inc.</t>
        </is>
      </c>
      <c r="Q403" t="inlineStr">
        <is>
          <t>Initial</t>
        </is>
      </c>
    </row>
    <row r="404">
      <c r="A404" s="2">
        <f>HYPERLINK("https://www.cadth.ca/aflibercept-eylea-for-diabetic-macular-edema-SR0396", "Eylea")</f>
        <v>0</v>
      </c>
      <c r="B404" t="inlineStr">
        <is>
          <t>Aflibercept</t>
        </is>
      </c>
      <c r="C404" t="inlineStr">
        <is>
          <t>Macular edema, diabetic</t>
        </is>
      </c>
      <c r="D404" t="inlineStr">
        <is>
          <t>List with clinical criteria and/or conditions</t>
        </is>
      </c>
      <c r="E404" t="inlineStr">
        <is>
          <t>Complete</t>
        </is>
      </c>
      <c r="F404" s="3">
        <v>41898</v>
      </c>
      <c r="G404" s="3">
        <v>42131</v>
      </c>
      <c r="H404" t="inlineStr">
        <is>
          <t>SR0396-000</t>
        </is>
      </c>
      <c r="N404" t="inlineStr">
        <is>
          <t>Bayer Inc.</t>
        </is>
      </c>
      <c r="Q404" t="inlineStr">
        <is>
          <t>New Indication</t>
        </is>
      </c>
    </row>
    <row r="405">
      <c r="A405" s="2">
        <f>HYPERLINK("https://www.cadth.ca/aflibercept-18", "Eylea")</f>
        <v>0</v>
      </c>
      <c r="B405" t="inlineStr">
        <is>
          <t>Aflibercept</t>
        </is>
      </c>
      <c r="C405" t="inlineStr">
        <is>
          <t>Macular edema secondary to central retinal vein occlusion</t>
        </is>
      </c>
      <c r="D405" t="inlineStr">
        <is>
          <t>List with clinical criteria and/or conditions</t>
        </is>
      </c>
      <c r="E405" t="inlineStr">
        <is>
          <t>Complete</t>
        </is>
      </c>
      <c r="F405" s="3">
        <v>41929</v>
      </c>
      <c r="G405" s="3">
        <v>42131</v>
      </c>
      <c r="H405" t="inlineStr">
        <is>
          <t>SR0401-000</t>
        </is>
      </c>
      <c r="N405" t="inlineStr">
        <is>
          <t>Bayer Inc.</t>
        </is>
      </c>
      <c r="Q405" t="inlineStr">
        <is>
          <t>New Indication</t>
        </is>
      </c>
    </row>
    <row r="406">
      <c r="A406" s="2">
        <f>HYPERLINK("https://www.cadth.ca/aflibercept-16", "Eylea")</f>
        <v>0</v>
      </c>
      <c r="B406" t="inlineStr">
        <is>
          <t>Aflibercept</t>
        </is>
      </c>
      <c r="C406" t="inlineStr">
        <is>
          <t>Macular degeneration, age-related</t>
        </is>
      </c>
      <c r="D406" t="inlineStr">
        <is>
          <t>List with criteria/condition</t>
        </is>
      </c>
      <c r="E406" t="inlineStr">
        <is>
          <t>Complete</t>
        </is>
      </c>
      <c r="F406" s="3">
        <v>41596</v>
      </c>
      <c r="G406" s="3">
        <v>41932</v>
      </c>
      <c r="H406" t="inlineStr">
        <is>
          <t>SR0361-000</t>
        </is>
      </c>
      <c r="N406" t="inlineStr">
        <is>
          <t>Bayer Canada Inc.</t>
        </is>
      </c>
      <c r="Q406" t="inlineStr">
        <is>
          <t>Initial</t>
        </is>
      </c>
    </row>
    <row r="407">
      <c r="A407" s="2">
        <f>HYPERLINK("https://www.cadth.ca/aflibercept-17", "Eylea")</f>
        <v>0</v>
      </c>
      <c r="B407" t="inlineStr">
        <is>
          <t>Aflibercept</t>
        </is>
      </c>
      <c r="C407" t="inlineStr">
        <is>
          <t>Macular edema secondary to branch retinal vein occlusion</t>
        </is>
      </c>
      <c r="D407" t="inlineStr">
        <is>
          <t>Reimburse with clinical criteria and/or conditions</t>
        </is>
      </c>
      <c r="E407" t="inlineStr">
        <is>
          <t>Complete</t>
        </is>
      </c>
      <c r="F407" s="3">
        <v>42352</v>
      </c>
      <c r="G407" s="3">
        <v>42578</v>
      </c>
      <c r="H407" t="inlineStr">
        <is>
          <t>SR0460-000</t>
        </is>
      </c>
      <c r="N407" t="inlineStr">
        <is>
          <t>Bayer Inc.</t>
        </is>
      </c>
      <c r="Q407" t="inlineStr">
        <is>
          <t>New Indication</t>
        </is>
      </c>
    </row>
    <row r="408">
      <c r="A408" s="2">
        <f>HYPERLINK("https://www.cadth.ca/agalsidase-beta-9", "Fabrazyme")</f>
        <v>0</v>
      </c>
      <c r="B408" t="inlineStr">
        <is>
          <t>Agalsidase beta</t>
        </is>
      </c>
      <c r="C408" t="inlineStr">
        <is>
          <t>Fabry Disease</t>
        </is>
      </c>
      <c r="D408" t="inlineStr">
        <is>
          <t>Do not list</t>
        </is>
      </c>
      <c r="E408" t="inlineStr">
        <is>
          <t>Complete</t>
        </is>
      </c>
      <c r="F408" s="3">
        <v>38041</v>
      </c>
      <c r="G408" s="3">
        <v>38315</v>
      </c>
      <c r="H408" t="inlineStr">
        <is>
          <t>S0007</t>
        </is>
      </c>
      <c r="N408" t="inlineStr">
        <is>
          <t>Genzyme Canada</t>
        </is>
      </c>
      <c r="Q408" t="inlineStr">
        <is>
          <t>Initial</t>
        </is>
      </c>
    </row>
    <row r="409">
      <c r="A409" s="2">
        <f>HYPERLINK("https://www.cadth.ca/agalsidase-beta-10", "Fabrazyme")</f>
        <v>0</v>
      </c>
      <c r="B409" t="inlineStr">
        <is>
          <t>Agalsidase beta</t>
        </is>
      </c>
      <c r="C409" t="inlineStr">
        <is>
          <t>Fabry Disease</t>
        </is>
      </c>
      <c r="D409" t="inlineStr">
        <is>
          <t>Do not list</t>
        </is>
      </c>
      <c r="E409" t="inlineStr">
        <is>
          <t>Complete</t>
        </is>
      </c>
      <c r="F409" s="3">
        <v>38331</v>
      </c>
      <c r="G409" s="3">
        <v>38490</v>
      </c>
      <c r="H409" t="inlineStr">
        <is>
          <t>S0028</t>
        </is>
      </c>
      <c r="N409" t="inlineStr">
        <is>
          <t>Genzyme Canada</t>
        </is>
      </c>
      <c r="Q409" t="inlineStr">
        <is>
          <t>Resubmission</t>
        </is>
      </c>
    </row>
    <row r="410">
      <c r="A410" s="2">
        <f>HYPERLINK("https://www.cadth.ca/fampridine-11", "Fampyra")</f>
        <v>0</v>
      </c>
      <c r="B410" t="inlineStr">
        <is>
          <t>Fampridine</t>
        </is>
      </c>
      <c r="C410" t="inlineStr">
        <is>
          <t>Multiple Sclerosis, improve walking disability</t>
        </is>
      </c>
      <c r="D410" t="inlineStr">
        <is>
          <t>Do not list</t>
        </is>
      </c>
      <c r="E410" t="inlineStr">
        <is>
          <t>Complete</t>
        </is>
      </c>
      <c r="F410" s="3">
        <v>41015</v>
      </c>
      <c r="G410" s="3">
        <v>41241</v>
      </c>
      <c r="H410" t="inlineStr">
        <is>
          <t>SR0275</t>
        </is>
      </c>
      <c r="N410" t="inlineStr">
        <is>
          <t>Biogen Idec Canada Inc.</t>
        </is>
      </c>
      <c r="Q410" t="inlineStr">
        <is>
          <t>Initial</t>
        </is>
      </c>
    </row>
    <row r="411">
      <c r="A411" s="2">
        <f>HYPERLINK("https://www.cadth.ca/fampridine-12", "Fampyra")</f>
        <v>0</v>
      </c>
      <c r="B411" t="inlineStr">
        <is>
          <t>Fampridine</t>
        </is>
      </c>
      <c r="C411" t="inlineStr">
        <is>
          <t>Multiple Sclerosis, improve walking disability</t>
        </is>
      </c>
      <c r="E411" t="inlineStr">
        <is>
          <t>Withdrawn</t>
        </is>
      </c>
      <c r="F411" s="3">
        <v>41949</v>
      </c>
      <c r="H411" t="inlineStr">
        <is>
          <t>SR0404-000</t>
        </is>
      </c>
      <c r="N411" t="inlineStr">
        <is>
          <t>Biogen Idec Canada Inc.</t>
        </is>
      </c>
      <c r="Q411" t="inlineStr">
        <is>
          <t>Resubmission</t>
        </is>
      </c>
    </row>
    <row r="412">
      <c r="A412" s="2">
        <f>HYPERLINK("https://www.cadth.ca/benralizumab-0", "Fasenra")</f>
        <v>0</v>
      </c>
      <c r="B412" t="inlineStr">
        <is>
          <t>benralizumab</t>
        </is>
      </c>
      <c r="C412" t="inlineStr">
        <is>
          <t>Asthma, severe eosinophilic</t>
        </is>
      </c>
      <c r="D412" t="inlineStr">
        <is>
          <t>Reimburse with clinical criteria and/or conditions</t>
        </is>
      </c>
      <c r="E412" t="inlineStr">
        <is>
          <t>Complete</t>
        </is>
      </c>
      <c r="F412" s="3">
        <v>43397</v>
      </c>
      <c r="G412" s="3">
        <v>43551</v>
      </c>
      <c r="H412" t="inlineStr">
        <is>
          <t>SF0592-000</t>
        </is>
      </c>
      <c r="N412" t="inlineStr">
        <is>
          <t>AstraZeneca Canada Inc.</t>
        </is>
      </c>
      <c r="Q412" t="inlineStr">
        <is>
          <t>Request For Advice</t>
        </is>
      </c>
    </row>
    <row r="413">
      <c r="A413" s="2">
        <f>HYPERLINK("https://www.cadth.ca/benralizumab", "Fasenra")</f>
        <v>0</v>
      </c>
      <c r="B413" t="inlineStr">
        <is>
          <t>benralizumab</t>
        </is>
      </c>
      <c r="C413" t="inlineStr">
        <is>
          <t>Asthma, severe eosinophilic</t>
        </is>
      </c>
      <c r="D413" t="inlineStr">
        <is>
          <t>Reimburse with clinical criteria and/or conditions</t>
        </is>
      </c>
      <c r="E413" t="inlineStr">
        <is>
          <t>Complete</t>
        </is>
      </c>
      <c r="F413" s="3">
        <v>43154</v>
      </c>
      <c r="G413" s="3">
        <v>43333</v>
      </c>
      <c r="H413" t="inlineStr">
        <is>
          <t>SR0561-000</t>
        </is>
      </c>
      <c r="N413" t="inlineStr">
        <is>
          <t>AstraZeneca Canada Inc.</t>
        </is>
      </c>
      <c r="Q413" t="inlineStr">
        <is>
          <t>Initial</t>
        </is>
      </c>
    </row>
    <row r="414">
      <c r="A414" s="2">
        <f>HYPERLINK("https://www.cadth.ca/fentanyl-buccal", "Fentora")</f>
        <v>0</v>
      </c>
      <c r="B414" t="inlineStr">
        <is>
          <t>Fentanyl buccal</t>
        </is>
      </c>
      <c r="C414" t="inlineStr">
        <is>
          <t>Pain (breakthrough), cancer (adults)</t>
        </is>
      </c>
      <c r="D414" t="inlineStr">
        <is>
          <t>Do not reimburse</t>
        </is>
      </c>
      <c r="E414" t="inlineStr">
        <is>
          <t>Complete</t>
        </is>
      </c>
      <c r="F414" s="3">
        <v>42563</v>
      </c>
      <c r="G414" s="3">
        <v>42787</v>
      </c>
      <c r="H414" t="inlineStr">
        <is>
          <t>SR0494-000</t>
        </is>
      </c>
      <c r="N414" t="inlineStr">
        <is>
          <t>Teva Canada Innovation</t>
        </is>
      </c>
      <c r="Q414" t="inlineStr">
        <is>
          <t>Initial</t>
        </is>
      </c>
    </row>
    <row r="415">
      <c r="A415" s="2">
        <f>HYPERLINK("https://www.cadth.ca/deferiprone", "Ferriprox")</f>
        <v>0</v>
      </c>
      <c r="B415" t="inlineStr">
        <is>
          <t>Deferiprone</t>
        </is>
      </c>
      <c r="C415" t="inlineStr">
        <is>
          <t>Transfusional iron overload</t>
        </is>
      </c>
      <c r="D415" t="inlineStr">
        <is>
          <t>List with clinical criteria and/or conditions</t>
        </is>
      </c>
      <c r="E415" t="inlineStr">
        <is>
          <t>Complete</t>
        </is>
      </c>
      <c r="F415" s="3">
        <v>42271</v>
      </c>
      <c r="G415" s="3">
        <v>42447</v>
      </c>
      <c r="H415" t="inlineStr">
        <is>
          <t>SR0448-000</t>
        </is>
      </c>
      <c r="N415" t="inlineStr">
        <is>
          <t>ApoPharma Inc.</t>
        </is>
      </c>
      <c r="Q415" t="inlineStr">
        <is>
          <t>Initial</t>
        </is>
      </c>
    </row>
    <row r="416">
      <c r="A416" s="2">
        <f>HYPERLINK("https://www.cadth.ca/ulipristal-acetate-7", "Fibristal")</f>
        <v>0</v>
      </c>
      <c r="B416" t="inlineStr">
        <is>
          <t>ulipristal acetate</t>
        </is>
      </c>
      <c r="C416" t="inlineStr">
        <is>
          <t>Uterine fibroids (signs and symptoms)</t>
        </is>
      </c>
      <c r="D416" t="inlineStr">
        <is>
          <t>Reimburse with clinical criteria and/or conditions</t>
        </is>
      </c>
      <c r="E416" t="inlineStr">
        <is>
          <t>Complete</t>
        </is>
      </c>
      <c r="F416" s="3">
        <v>42907</v>
      </c>
      <c r="G416" s="3">
        <v>43061</v>
      </c>
      <c r="H416" t="inlineStr">
        <is>
          <t>SF0528-000</t>
        </is>
      </c>
      <c r="N416" t="inlineStr">
        <is>
          <t>Allergan Canada Inc.</t>
        </is>
      </c>
      <c r="Q416" t="inlineStr">
        <is>
          <t>Request For Advice</t>
        </is>
      </c>
    </row>
    <row r="417">
      <c r="A417" s="2">
        <f>HYPERLINK("https://www.cadth.ca/ulipristal-acetate-8", "Fibristal")</f>
        <v>0</v>
      </c>
      <c r="B417" t="inlineStr">
        <is>
          <t>ulipristal acetate</t>
        </is>
      </c>
      <c r="C417" t="inlineStr">
        <is>
          <t>Uterine fibroids (signs and symptoms)</t>
        </is>
      </c>
      <c r="D417" t="inlineStr">
        <is>
          <t>Reimburse with clinical criteria and/or conditions</t>
        </is>
      </c>
      <c r="E417" t="inlineStr">
        <is>
          <t>Complete</t>
        </is>
      </c>
      <c r="F417" s="3">
        <v>43552</v>
      </c>
      <c r="G417" s="3">
        <v>43670</v>
      </c>
      <c r="H417" t="inlineStr">
        <is>
          <t>SF0609-000</t>
        </is>
      </c>
      <c r="N417" t="inlineStr">
        <is>
          <t>Allergan Inc.</t>
        </is>
      </c>
      <c r="Q417" t="inlineStr">
        <is>
          <t>Request For Advice</t>
        </is>
      </c>
    </row>
    <row r="418">
      <c r="A418" s="2">
        <f>HYPERLINK("https://www.cadth.ca/ulipristal-acetate-6", "Fibristal")</f>
        <v>0</v>
      </c>
      <c r="B418" t="inlineStr">
        <is>
          <t>Ulipristal acetate</t>
        </is>
      </c>
      <c r="C418" t="inlineStr">
        <is>
          <t>Uterine fibroids (signs and symptoms)</t>
        </is>
      </c>
      <c r="D418" t="inlineStr">
        <is>
          <t>List with criteria/condition</t>
        </is>
      </c>
      <c r="E418" t="inlineStr">
        <is>
          <t>Complete</t>
        </is>
      </c>
      <c r="F418" s="3">
        <v>41381</v>
      </c>
      <c r="G418" s="3">
        <v>41593</v>
      </c>
      <c r="H418" t="inlineStr">
        <is>
          <t>SR0326</t>
        </is>
      </c>
      <c r="N418" t="inlineStr">
        <is>
          <t>Actavis Specialty Pharmaceuticals Co.</t>
        </is>
      </c>
      <c r="Q418" t="inlineStr">
        <is>
          <t>Pre-NOC</t>
        </is>
      </c>
    </row>
    <row r="419">
      <c r="A419" s="2">
        <f>HYPERLINK("https://www.cadth.ca/azelaic-acid-6", "Finacea")</f>
        <v>0</v>
      </c>
      <c r="B419" t="inlineStr">
        <is>
          <t>Azelaic acid</t>
        </is>
      </c>
      <c r="C419" t="inlineStr">
        <is>
          <t>Rosacea</t>
        </is>
      </c>
      <c r="D419" t="inlineStr">
        <is>
          <t>List</t>
        </is>
      </c>
      <c r="E419" t="inlineStr">
        <is>
          <t>Complete</t>
        </is>
      </c>
      <c r="F419" s="3">
        <v>40421</v>
      </c>
      <c r="G419" s="3">
        <v>40590</v>
      </c>
      <c r="H419" t="inlineStr">
        <is>
          <t>S0209</t>
        </is>
      </c>
      <c r="N419" t="inlineStr">
        <is>
          <t>Bayer Inc.</t>
        </is>
      </c>
      <c r="Q419" t="inlineStr">
        <is>
          <t>Initial</t>
        </is>
      </c>
    </row>
    <row r="420">
      <c r="A420" s="2">
        <f>HYPERLINK("https://www.cadth.ca/icatibant-4", "Firazyr")</f>
        <v>0</v>
      </c>
      <c r="B420" t="inlineStr">
        <is>
          <t>Icatibant</t>
        </is>
      </c>
      <c r="C420" t="inlineStr">
        <is>
          <t>Angioedema, hereditary</t>
        </is>
      </c>
      <c r="D420" t="inlineStr">
        <is>
          <t>List with clinical criteria and/or conditions</t>
        </is>
      </c>
      <c r="E420" t="inlineStr">
        <is>
          <t>Complete</t>
        </is>
      </c>
      <c r="F420" s="3">
        <v>41702</v>
      </c>
      <c r="G420" s="3">
        <v>41992</v>
      </c>
      <c r="H420" t="inlineStr">
        <is>
          <t>SR0375-000</t>
        </is>
      </c>
      <c r="N420" t="inlineStr">
        <is>
          <t>Shire Human Genetic Therapies (Canada) Inc.</t>
        </is>
      </c>
      <c r="Q420" t="inlineStr">
        <is>
          <t>Pre-NOC</t>
        </is>
      </c>
    </row>
    <row r="421">
      <c r="A421" s="2">
        <f>HYPERLINK("https://www.cadth.ca/firazyr-icatibant", "Firazyr")</f>
        <v>0</v>
      </c>
      <c r="B421" t="inlineStr">
        <is>
          <t>icatibant</t>
        </is>
      </c>
      <c r="C421" t="inlineStr">
        <is>
          <t>Acute attacks of hereditary angioedema in adolescents and children aged two years and older with C1-esterase inhibitor deficiency</t>
        </is>
      </c>
      <c r="D421" t="inlineStr">
        <is>
          <t>CADTH is unable to recommend reimbursement as a submission was not filed by the manufacturer</t>
        </is>
      </c>
      <c r="E421" t="inlineStr">
        <is>
          <t>NotFiled</t>
        </is>
      </c>
      <c r="N421" t="inlineStr">
        <is>
          <t>Takeda Canada Inc.</t>
        </is>
      </c>
      <c r="Q421" t="inlineStr">
        <is>
          <t>Non-submission</t>
        </is>
      </c>
    </row>
    <row r="422">
      <c r="A422" s="2">
        <f>HYPERLINK("https://www.cadth.ca/teriparatide-rdna-origin-injection-31", "Forteo")</f>
        <v>0</v>
      </c>
      <c r="B422" t="inlineStr">
        <is>
          <t>Teriparatide (rDNA origin) injection</t>
        </is>
      </c>
      <c r="C422" t="inlineStr">
        <is>
          <t>Osteoporosis</t>
        </is>
      </c>
      <c r="D422" t="inlineStr">
        <is>
          <t>Do not list</t>
        </is>
      </c>
      <c r="E422" t="inlineStr">
        <is>
          <t>Complete</t>
        </is>
      </c>
      <c r="F422" s="3">
        <v>38146</v>
      </c>
      <c r="G422" s="3">
        <v>38343</v>
      </c>
      <c r="H422" t="inlineStr">
        <is>
          <t>S0015</t>
        </is>
      </c>
      <c r="N422" t="inlineStr">
        <is>
          <t>Eli Lilly Canada Inc.</t>
        </is>
      </c>
      <c r="Q422" t="inlineStr">
        <is>
          <t>Initial</t>
        </is>
      </c>
    </row>
    <row r="423">
      <c r="A423" s="2">
        <f>HYPERLINK("https://www.cadth.ca/teriparatide-rdna-origin-injection-35", "Forteo")</f>
        <v>0</v>
      </c>
      <c r="B423" t="inlineStr">
        <is>
          <t>Teriparatide (rDNA origin) injection</t>
        </is>
      </c>
      <c r="C423" t="inlineStr">
        <is>
          <t>Osteoporosis, glucocorticoid induced</t>
        </is>
      </c>
      <c r="D423" t="inlineStr">
        <is>
          <t>Do not list</t>
        </is>
      </c>
      <c r="E423" t="inlineStr">
        <is>
          <t>Complete</t>
        </is>
      </c>
      <c r="F423" s="3">
        <v>39800</v>
      </c>
      <c r="G423" s="3">
        <v>40016</v>
      </c>
      <c r="H423" t="inlineStr">
        <is>
          <t>S0152</t>
        </is>
      </c>
      <c r="N423" t="inlineStr">
        <is>
          <t>Eli Lilly Canada Inc.</t>
        </is>
      </c>
      <c r="Q423" t="inlineStr">
        <is>
          <t>New Indication</t>
        </is>
      </c>
    </row>
    <row r="424">
      <c r="A424" s="2">
        <f>HYPERLINK("https://www.cadth.ca/teriparatide-rdna-origin-injection-39", "Forteo")</f>
        <v>0</v>
      </c>
      <c r="B424" t="inlineStr">
        <is>
          <t>Teriparatide (rDNA origin) injection</t>
        </is>
      </c>
      <c r="C424" t="inlineStr">
        <is>
          <t>Osteoporosis (in women), Severe</t>
        </is>
      </c>
      <c r="D424" t="inlineStr">
        <is>
          <t>Do not list</t>
        </is>
      </c>
      <c r="E424" t="inlineStr">
        <is>
          <t>Complete</t>
        </is>
      </c>
      <c r="F424" s="3">
        <v>40109</v>
      </c>
      <c r="G424" s="3">
        <v>40254</v>
      </c>
      <c r="H424" t="inlineStr">
        <is>
          <t>S0180</t>
        </is>
      </c>
      <c r="N424" t="inlineStr">
        <is>
          <t>Eli Lilly Canada Inc.</t>
        </is>
      </c>
      <c r="Q424" t="inlineStr">
        <is>
          <t>Drug Plan Initiated</t>
        </is>
      </c>
    </row>
    <row r="425">
      <c r="A425" s="2">
        <f>HYPERLINK("https://www.cadth.ca/teriparatide-rdna-origin-injection-32", "Forteo")</f>
        <v>0</v>
      </c>
      <c r="B425" t="inlineStr">
        <is>
          <t>Teriparatide (rDNA origin) injection</t>
        </is>
      </c>
      <c r="C425" t="inlineStr">
        <is>
          <t>Osteoporosis</t>
        </is>
      </c>
      <c r="E425" t="inlineStr">
        <is>
          <t>Withdrawn</t>
        </is>
      </c>
      <c r="F425" s="3">
        <v>38866</v>
      </c>
      <c r="H425" t="inlineStr">
        <is>
          <t>S0065</t>
        </is>
      </c>
      <c r="N425" t="inlineStr">
        <is>
          <t>Eli Lilly Canada Inc.</t>
        </is>
      </c>
      <c r="Q425" t="inlineStr">
        <is>
          <t>Resubmission</t>
        </is>
      </c>
    </row>
    <row r="426">
      <c r="A426" s="2">
        <f>HYPERLINK("https://www.cadth.ca/teriparatide-rdna-origin-injection-38", "Forteo")</f>
        <v>0</v>
      </c>
      <c r="B426" t="inlineStr">
        <is>
          <t>Teriparatide (rDNA origin) injection</t>
        </is>
      </c>
      <c r="C426" t="inlineStr">
        <is>
          <t>Osteoporosis</t>
        </is>
      </c>
      <c r="E426" t="inlineStr">
        <is>
          <t>Withdrawn</t>
        </is>
      </c>
      <c r="F426" s="3">
        <v>39976</v>
      </c>
      <c r="H426" t="inlineStr">
        <is>
          <t>S0169</t>
        </is>
      </c>
      <c r="N426" t="inlineStr">
        <is>
          <t>Eli Lilly Canada Inc.</t>
        </is>
      </c>
      <c r="Q426" t="inlineStr">
        <is>
          <t>Resubmission 3</t>
        </is>
      </c>
    </row>
    <row r="427">
      <c r="A427" s="2">
        <f>HYPERLINK("https://www.cadth.ca/teriparatide-rdna-origin-injection-37", "Forteo")</f>
        <v>0</v>
      </c>
      <c r="B427" t="inlineStr">
        <is>
          <t>Teriparatide (rDNA origin) injection</t>
        </is>
      </c>
      <c r="C427" t="inlineStr">
        <is>
          <t>Osteoporosis</t>
        </is>
      </c>
      <c r="E427" t="inlineStr">
        <is>
          <t>Withdrawn</t>
        </is>
      </c>
      <c r="F427" s="3">
        <v>39800</v>
      </c>
      <c r="H427" t="inlineStr">
        <is>
          <t>S0157</t>
        </is>
      </c>
      <c r="N427" t="inlineStr">
        <is>
          <t>Eli Lilly Canada Inc.</t>
        </is>
      </c>
      <c r="Q427" t="inlineStr">
        <is>
          <t>Resubmission 2</t>
        </is>
      </c>
    </row>
    <row r="428">
      <c r="A428" s="2">
        <f>HYPERLINK("https://www.cadth.ca/dapagliflozin-0", "Forxiga")</f>
        <v>0</v>
      </c>
      <c r="B428" t="inlineStr">
        <is>
          <t>Dapagliflozin</t>
        </is>
      </c>
      <c r="C428" t="inlineStr">
        <is>
          <t>Diabetes mellitus, type 2</t>
        </is>
      </c>
      <c r="D428" t="inlineStr">
        <is>
          <t>Do not list</t>
        </is>
      </c>
      <c r="E428" t="inlineStr">
        <is>
          <t>Complete</t>
        </is>
      </c>
      <c r="F428" s="3">
        <v>42251</v>
      </c>
      <c r="G428" s="3">
        <v>42487</v>
      </c>
      <c r="H428" t="inlineStr">
        <is>
          <t>SR0445-000</t>
        </is>
      </c>
      <c r="N428" t="inlineStr">
        <is>
          <t>AstraZeneca Canada Inc.</t>
        </is>
      </c>
      <c r="Q428" t="inlineStr">
        <is>
          <t>New Indication</t>
        </is>
      </c>
    </row>
    <row r="429">
      <c r="A429" s="2">
        <f>HYPERLINK("https://www.cadth.ca/dapagliflozin-1", "Forxiga")</f>
        <v>0</v>
      </c>
      <c r="B429" t="inlineStr">
        <is>
          <t>dapagliflozin</t>
        </is>
      </c>
      <c r="C429" t="inlineStr">
        <is>
          <t>​Forxiga is indicated in adults, as an adjunct to standard of care therapy, for the treatment of heart failure with reduced ejection fraction (HFrEF) to reduce the risk of CV death, hospitalization for heart failure and urgent heart failure visit, and to improve heart failure symptoms.</t>
        </is>
      </c>
      <c r="E429" t="inlineStr">
        <is>
          <t>Active</t>
        </is>
      </c>
      <c r="F429" s="3">
        <v>43921</v>
      </c>
      <c r="H429" t="inlineStr">
        <is>
          <t>SR0642-000</t>
        </is>
      </c>
      <c r="N429" t="inlineStr">
        <is>
          <t>AstraZeneca Canada Inc.</t>
        </is>
      </c>
      <c r="Q429" t="inlineStr">
        <is>
          <t>Initial</t>
        </is>
      </c>
    </row>
    <row r="430">
      <c r="A430" s="2">
        <f>HYPERLINK("https://www.cadth.ca/dapagliflozin", "Forxiga")</f>
        <v>0</v>
      </c>
      <c r="B430" t="inlineStr">
        <is>
          <t>Dapagliflozin</t>
        </is>
      </c>
      <c r="C430" t="inlineStr">
        <is>
          <t>Diabetes mellitus (Type 2)</t>
        </is>
      </c>
      <c r="D430" t="inlineStr">
        <is>
          <t>List with clinical criteria and/or conditions</t>
        </is>
      </c>
      <c r="E430" t="inlineStr">
        <is>
          <t>Complete</t>
        </is>
      </c>
      <c r="F430" s="3">
        <v>42124</v>
      </c>
      <c r="G430" s="3">
        <v>42328</v>
      </c>
      <c r="H430" t="inlineStr">
        <is>
          <t>SR0428-000</t>
        </is>
      </c>
      <c r="N430" t="inlineStr">
        <is>
          <t>AstraZeneca Canada Inc.</t>
        </is>
      </c>
      <c r="Q430" t="inlineStr">
        <is>
          <t>Initial</t>
        </is>
      </c>
    </row>
    <row r="431">
      <c r="A431" s="2">
        <f>HYPERLINK("https://www.cadth.ca/alendronate-sodiumcholecalciferol-6", "Fosavance")</f>
        <v>0</v>
      </c>
      <c r="B431" t="inlineStr">
        <is>
          <t>Alendronate sodium/cholecalciferol</t>
        </is>
      </c>
      <c r="C431" t="inlineStr">
        <is>
          <t>Osteoporosis</t>
        </is>
      </c>
      <c r="D431" t="inlineStr">
        <is>
          <t>Do not list</t>
        </is>
      </c>
      <c r="E431" t="inlineStr">
        <is>
          <t>Complete</t>
        </is>
      </c>
      <c r="F431" s="3">
        <v>38803</v>
      </c>
      <c r="G431" s="3">
        <v>38987</v>
      </c>
      <c r="H431" t="inlineStr">
        <is>
          <t>S0059</t>
        </is>
      </c>
      <c r="N431" t="inlineStr">
        <is>
          <t>Merck Frosst Canda Ltd.</t>
        </is>
      </c>
      <c r="Q431" t="inlineStr">
        <is>
          <t>Initial</t>
        </is>
      </c>
    </row>
    <row r="432">
      <c r="A432" s="2">
        <f>HYPERLINK("https://www.cadth.ca/lanthanum-carbonate-hydrate-6", "Fosrenol")</f>
        <v>0</v>
      </c>
      <c r="B432" t="inlineStr">
        <is>
          <t>Lanthanum carbonate hydrate</t>
        </is>
      </c>
      <c r="C432" t="inlineStr">
        <is>
          <t>Hyperphosphatemia, end-stage renal disease</t>
        </is>
      </c>
      <c r="D432" t="inlineStr">
        <is>
          <t>Do not list</t>
        </is>
      </c>
      <c r="E432" t="inlineStr">
        <is>
          <t>Complete</t>
        </is>
      </c>
      <c r="F432" s="3">
        <v>39261</v>
      </c>
      <c r="G432" s="3">
        <v>39477</v>
      </c>
      <c r="H432" t="inlineStr">
        <is>
          <t>S0100</t>
        </is>
      </c>
      <c r="N432" t="inlineStr">
        <is>
          <t>Shire BioChem Inc.</t>
        </is>
      </c>
      <c r="Q432" t="inlineStr">
        <is>
          <t>Initial</t>
        </is>
      </c>
    </row>
    <row r="433">
      <c r="A433" s="2">
        <f>HYPERLINK("https://www.cadth.ca/pegfilgrastim-6", "Fulphila")</f>
        <v>0</v>
      </c>
      <c r="B433" t="inlineStr">
        <is>
          <t>pegfilgrastim</t>
        </is>
      </c>
      <c r="C433" t="inlineStr">
        <is>
          <t>Febrile neutropenia in non-myeloid malignancies</t>
        </is>
      </c>
      <c r="E433" t="inlineStr">
        <is>
          <t>Complete</t>
        </is>
      </c>
      <c r="F433" s="3">
        <v>43418</v>
      </c>
      <c r="H433" t="inlineStr">
        <is>
          <t>SE0588-000</t>
        </is>
      </c>
      <c r="N433" t="inlineStr">
        <is>
          <t>BGP PHARMA ULC</t>
        </is>
      </c>
      <c r="Q433" t="inlineStr">
        <is>
          <t>Initial</t>
        </is>
      </c>
    </row>
    <row r="434">
      <c r="A434" s="2">
        <f>HYPERLINK("https://www.cadth.ca/perampanel-6", "Fycompa")</f>
        <v>0</v>
      </c>
      <c r="B434" t="inlineStr">
        <is>
          <t>Perampanel</t>
        </is>
      </c>
      <c r="C434" t="inlineStr">
        <is>
          <t>Epilepsy, partial onset seizures</t>
        </is>
      </c>
      <c r="D434" t="inlineStr">
        <is>
          <t>List with criteria/condition</t>
        </is>
      </c>
      <c r="E434" t="inlineStr">
        <is>
          <t>Complete</t>
        </is>
      </c>
      <c r="F434" s="3">
        <v>41341</v>
      </c>
      <c r="G434" s="3">
        <v>41564</v>
      </c>
      <c r="H434" t="inlineStr">
        <is>
          <t>SR0316-000</t>
        </is>
      </c>
      <c r="N434" t="inlineStr">
        <is>
          <t>Eisai Ltd.</t>
        </is>
      </c>
      <c r="Q434" t="inlineStr">
        <is>
          <t>Pre-NOC</t>
        </is>
      </c>
    </row>
    <row r="435">
      <c r="A435" s="2">
        <f>HYPERLINK("https://www.cadth.ca/perampanel-7", "Fycompa")</f>
        <v>0</v>
      </c>
      <c r="B435" t="inlineStr">
        <is>
          <t>Perampanel</t>
        </is>
      </c>
      <c r="C435" t="inlineStr">
        <is>
          <t>Epilepsy, primary generalized tonic-clonic seizures</t>
        </is>
      </c>
      <c r="D435" t="inlineStr">
        <is>
          <t>Reimburse with clinical criteria and/or conditions</t>
        </is>
      </c>
      <c r="E435" t="inlineStr">
        <is>
          <t>Complete</t>
        </is>
      </c>
      <c r="F435" s="3">
        <v>42332</v>
      </c>
      <c r="G435" s="3">
        <v>42508</v>
      </c>
      <c r="H435" t="inlineStr">
        <is>
          <t>SR0458-000</t>
        </is>
      </c>
      <c r="N435" t="inlineStr">
        <is>
          <t>Eisai Limited</t>
        </is>
      </c>
      <c r="Q435" t="inlineStr">
        <is>
          <t>New Indication</t>
        </is>
      </c>
    </row>
    <row r="436">
      <c r="A436" s="2">
        <f>HYPERLINK("https://www.cadth.ca/migalastat", "Galafold")</f>
        <v>0</v>
      </c>
      <c r="B436" t="inlineStr">
        <is>
          <t>migalastat</t>
        </is>
      </c>
      <c r="C436" t="inlineStr">
        <is>
          <t>Fabry Disease</t>
        </is>
      </c>
      <c r="D436" t="inlineStr">
        <is>
          <t>Reimburse with clinical criteria and/or conditions</t>
        </is>
      </c>
      <c r="E436" t="inlineStr">
        <is>
          <t>Complete</t>
        </is>
      </c>
      <c r="F436" s="3">
        <v>42895</v>
      </c>
      <c r="G436" s="3">
        <v>43124</v>
      </c>
      <c r="H436" t="inlineStr">
        <is>
          <t>SR0522-000</t>
        </is>
      </c>
      <c r="N436" t="inlineStr">
        <is>
          <t>Amicus Therapeutics</t>
        </is>
      </c>
      <c r="Q436" t="inlineStr">
        <is>
          <t>Initial</t>
        </is>
      </c>
    </row>
    <row r="437">
      <c r="A437" s="2">
        <f>HYPERLINK("https://www.cadth.ca/simeprevir-6", "Galexos")</f>
        <v>0</v>
      </c>
      <c r="B437" t="inlineStr">
        <is>
          <t>Simeprevir</t>
        </is>
      </c>
      <c r="C437" t="inlineStr">
        <is>
          <t>Hepatitis C, chronic</t>
        </is>
      </c>
      <c r="D437" t="inlineStr">
        <is>
          <t>List with criteria/condition</t>
        </is>
      </c>
      <c r="E437" t="inlineStr">
        <is>
          <t>Complete</t>
        </is>
      </c>
      <c r="F437" s="3">
        <v>41508</v>
      </c>
      <c r="G437" s="3">
        <v>41808</v>
      </c>
      <c r="H437" t="inlineStr">
        <is>
          <t>SR0347</t>
        </is>
      </c>
      <c r="N437" t="inlineStr">
        <is>
          <t>Janssen Inc.</t>
        </is>
      </c>
      <c r="Q437" t="inlineStr">
        <is>
          <t>Pre-NOC</t>
        </is>
      </c>
    </row>
    <row r="438">
      <c r="A438" s="2">
        <f>HYPERLINK("https://www.cadth.ca/oxybutynin-chloride-gel-6", "Gelnique")</f>
        <v>0</v>
      </c>
      <c r="B438" t="inlineStr">
        <is>
          <t>Oxybutynin Chloride Gel</t>
        </is>
      </c>
      <c r="C438" t="inlineStr">
        <is>
          <t>Bladder, overactive</t>
        </is>
      </c>
      <c r="D438" t="inlineStr">
        <is>
          <t>Do not list</t>
        </is>
      </c>
      <c r="E438" t="inlineStr">
        <is>
          <t>Complete</t>
        </is>
      </c>
      <c r="F438" s="3">
        <v>40841</v>
      </c>
      <c r="G438" s="3">
        <v>41053</v>
      </c>
      <c r="H438" t="inlineStr">
        <is>
          <t>S0260</t>
        </is>
      </c>
      <c r="N438" t="inlineStr">
        <is>
          <t>Watson Pharma Company</t>
        </is>
      </c>
      <c r="Q438" t="inlineStr">
        <is>
          <t>Initial</t>
        </is>
      </c>
    </row>
    <row r="439">
      <c r="A439" s="2">
        <f>HYPERLINK("https://www.cadth.ca/somatropin-20", "Genotropin")</f>
        <v>0</v>
      </c>
      <c r="B439" t="inlineStr">
        <is>
          <t>Somatropin</t>
        </is>
      </c>
      <c r="C439" t="inlineStr">
        <is>
          <t>Growth hormone deficiency, adult</t>
        </is>
      </c>
      <c r="D439" t="inlineStr">
        <is>
          <t>List with criteria/condition</t>
        </is>
      </c>
      <c r="E439" t="inlineStr">
        <is>
          <t>Complete</t>
        </is>
      </c>
      <c r="F439" s="3">
        <v>41421</v>
      </c>
      <c r="G439" s="3">
        <v>41628</v>
      </c>
      <c r="H439" t="inlineStr">
        <is>
          <t>SR0332</t>
        </is>
      </c>
      <c r="N439" t="inlineStr">
        <is>
          <t>Pfizer Canada Inc.</t>
        </is>
      </c>
      <c r="Q439" t="inlineStr">
        <is>
          <t>Initial</t>
        </is>
      </c>
    </row>
    <row r="440">
      <c r="A440" s="2">
        <f>HYPERLINK("https://www.cadth.ca/somatropin-21", "Genotropin")</f>
        <v>0</v>
      </c>
      <c r="B440" t="inlineStr">
        <is>
          <t>Somatropin</t>
        </is>
      </c>
      <c r="C440" t="inlineStr">
        <is>
          <t>Growth hormone deficiency, pediatric</t>
        </is>
      </c>
      <c r="D440" t="inlineStr">
        <is>
          <t>List with criteria/condition</t>
        </is>
      </c>
      <c r="E440" t="inlineStr">
        <is>
          <t>Complete</t>
        </is>
      </c>
      <c r="F440" s="3">
        <v>41421</v>
      </c>
      <c r="G440" s="3">
        <v>41628</v>
      </c>
      <c r="H440" t="inlineStr">
        <is>
          <t>SR0333</t>
        </is>
      </c>
      <c r="N440" t="inlineStr">
        <is>
          <t>Pfizer Canada Inc.</t>
        </is>
      </c>
      <c r="Q440" t="inlineStr">
        <is>
          <t>Initial</t>
        </is>
      </c>
    </row>
    <row r="441">
      <c r="A441" s="2">
        <f>HYPERLINK("https://www.cadth.ca/somatropin-22", "Genotropin")</f>
        <v>0</v>
      </c>
      <c r="B441" t="inlineStr">
        <is>
          <t>Somatropin</t>
        </is>
      </c>
      <c r="C441" t="inlineStr">
        <is>
          <t>Turner Syndrome</t>
        </is>
      </c>
      <c r="D441" t="inlineStr">
        <is>
          <t>List with criteria/condition</t>
        </is>
      </c>
      <c r="E441" t="inlineStr">
        <is>
          <t>Complete</t>
        </is>
      </c>
      <c r="F441" s="3">
        <v>41421</v>
      </c>
      <c r="G441" s="3">
        <v>41628</v>
      </c>
      <c r="H441" t="inlineStr">
        <is>
          <t>SR0334</t>
        </is>
      </c>
      <c r="N441" t="inlineStr">
        <is>
          <t>Pfizer Canada Inc.</t>
        </is>
      </c>
      <c r="Q441" t="inlineStr">
        <is>
          <t>Initial</t>
        </is>
      </c>
    </row>
    <row r="442">
      <c r="A442" s="2">
        <f>HYPERLINK("https://www.cadth.ca/aclidinium-bromide-6", "Tudorza Genuair")</f>
        <v>0</v>
      </c>
      <c r="B442" t="inlineStr">
        <is>
          <t>Aclidinium bromide</t>
        </is>
      </c>
      <c r="C442" t="inlineStr">
        <is>
          <t>Chronic Obstructive Pulmonary Disease (COPD)</t>
        </is>
      </c>
      <c r="D442" t="inlineStr">
        <is>
          <t>List with criteria/condition</t>
        </is>
      </c>
      <c r="E442" t="inlineStr">
        <is>
          <t>Complete</t>
        </is>
      </c>
      <c r="F442" s="3">
        <v>41507</v>
      </c>
      <c r="G442" s="3">
        <v>41750</v>
      </c>
      <c r="H442" t="inlineStr">
        <is>
          <t>SR0346</t>
        </is>
      </c>
      <c r="N442" t="inlineStr">
        <is>
          <t>Almirall Canada Ltd.</t>
        </is>
      </c>
      <c r="Q442" t="inlineStr">
        <is>
          <t>Initial</t>
        </is>
      </c>
    </row>
    <row r="443">
      <c r="A443" s="2">
        <f>HYPERLINK("https://www.cadth.ca/elvitegravir-cobicistat-emtricitabine-tenofovir-alafenamide", "Genvoya")</f>
        <v>0</v>
      </c>
      <c r="B443" t="inlineStr">
        <is>
          <t>Elvitegravir/cobicistat/emtricitabine/tenofovir alafenamide</t>
        </is>
      </c>
      <c r="C443" t="inlineStr">
        <is>
          <t>HIV-1 infection</t>
        </is>
      </c>
      <c r="D443" t="inlineStr">
        <is>
          <t>List</t>
        </is>
      </c>
      <c r="E443" t="inlineStr">
        <is>
          <t>Complete</t>
        </is>
      </c>
      <c r="F443" s="3">
        <v>42271</v>
      </c>
      <c r="G443" s="3">
        <v>42447</v>
      </c>
      <c r="H443" t="inlineStr">
        <is>
          <t>SR0449-000</t>
        </is>
      </c>
      <c r="N443" t="inlineStr">
        <is>
          <t>Gilead Sciences Canada, Inc.</t>
        </is>
      </c>
      <c r="Q443" t="inlineStr">
        <is>
          <t>Initial</t>
        </is>
      </c>
    </row>
    <row r="444">
      <c r="A444" s="2">
        <f>HYPERLINK("https://www.cadth.ca/fingolimod-6", "Gilenya")</f>
        <v>0</v>
      </c>
      <c r="B444" t="inlineStr">
        <is>
          <t>Fingolimod</t>
        </is>
      </c>
      <c r="C444" t="inlineStr">
        <is>
          <t>Multiple Sclerosis</t>
        </is>
      </c>
      <c r="D444" t="inlineStr">
        <is>
          <t>List with clinical criteria and/or conditions</t>
        </is>
      </c>
      <c r="E444" t="inlineStr">
        <is>
          <t>Complete</t>
        </is>
      </c>
      <c r="F444" s="3">
        <v>40673</v>
      </c>
      <c r="G444" s="3">
        <v>40863</v>
      </c>
      <c r="H444" t="inlineStr">
        <is>
          <t>S0228</t>
        </is>
      </c>
      <c r="N444" t="inlineStr">
        <is>
          <t>Novartis Pharmaceuticals Canada Inc.</t>
        </is>
      </c>
      <c r="Q444" t="inlineStr">
        <is>
          <t>Initial</t>
        </is>
      </c>
    </row>
    <row r="445">
      <c r="A445" s="2">
        <f>HYPERLINK("https://www.cadth.ca/glatiramer-acetate-7", "Glatect")</f>
        <v>0</v>
      </c>
      <c r="B445" t="inlineStr">
        <is>
          <t>Glatiramer acetate</t>
        </is>
      </c>
      <c r="C445" t="inlineStr">
        <is>
          <t>Multiple Sclerosis, relapsing - remitting</t>
        </is>
      </c>
      <c r="D445" t="inlineStr">
        <is>
          <t>Reimburse with clinical criteria and/or conditions</t>
        </is>
      </c>
      <c r="E445" t="inlineStr">
        <is>
          <t>Complete</t>
        </is>
      </c>
      <c r="F445" s="3">
        <v>42755</v>
      </c>
      <c r="G445" s="3">
        <v>42941</v>
      </c>
      <c r="H445" t="inlineStr">
        <is>
          <t>SE0510</t>
        </is>
      </c>
      <c r="N445" t="inlineStr">
        <is>
          <t>Pendopharm</t>
        </is>
      </c>
      <c r="Q445" t="inlineStr">
        <is>
          <t>Initial</t>
        </is>
      </c>
    </row>
    <row r="446">
      <c r="A446" s="2">
        <f>HYPERLINK("https://www.cadth.ca/phleum-pratense-6", "Grastek")</f>
        <v>0</v>
      </c>
      <c r="B446" t="inlineStr">
        <is>
          <t>Phleum pratense</t>
        </is>
      </c>
      <c r="C446" t="inlineStr">
        <is>
          <t>Allergy (grass)</t>
        </is>
      </c>
      <c r="D446" t="inlineStr">
        <is>
          <t>Do not list</t>
        </is>
      </c>
      <c r="E446" t="inlineStr">
        <is>
          <t>Complete</t>
        </is>
      </c>
      <c r="F446" s="3">
        <v>41547</v>
      </c>
      <c r="G446" s="3">
        <v>41906</v>
      </c>
      <c r="H446" t="inlineStr">
        <is>
          <t>SR0352</t>
        </is>
      </c>
      <c r="N446" t="inlineStr">
        <is>
          <t>Merck Canada Inc.</t>
        </is>
      </c>
      <c r="Q446" t="inlineStr">
        <is>
          <t>Pre-NOC</t>
        </is>
      </c>
    </row>
    <row r="447">
      <c r="A447" s="2">
        <f>HYPERLINK("https://www.cadth.ca/filgrastim", "Grastofil")</f>
        <v>0</v>
      </c>
      <c r="B447" t="inlineStr">
        <is>
          <t>Filgrastim</t>
        </is>
      </c>
      <c r="C447" t="inlineStr">
        <is>
          <t>Prevention or treatment of neutropenia in various indications</t>
        </is>
      </c>
      <c r="D447" t="inlineStr">
        <is>
          <t>List with clinical criteria and/or conditions</t>
        </is>
      </c>
      <c r="E447" t="inlineStr">
        <is>
          <t>Complete</t>
        </is>
      </c>
      <c r="F447" s="3">
        <v>42258</v>
      </c>
      <c r="G447" s="3">
        <v>42447</v>
      </c>
      <c r="H447" t="inlineStr">
        <is>
          <t>SE0446-000</t>
        </is>
      </c>
      <c r="N447" t="inlineStr">
        <is>
          <t>Apotex Inc.</t>
        </is>
      </c>
      <c r="Q447" t="inlineStr">
        <is>
          <t>Initial</t>
        </is>
      </c>
    </row>
    <row r="448">
      <c r="A448" s="2">
        <f>HYPERLINK("https://www.cadth.ca/ledipasvir-sofosbuvir-4", "Harvoni")</f>
        <v>0</v>
      </c>
      <c r="B448" t="inlineStr">
        <is>
          <t>Ledipasvir / Sofosbuvir</t>
        </is>
      </c>
      <c r="C448" t="inlineStr">
        <is>
          <t>Hepatitis C, chronic</t>
        </is>
      </c>
      <c r="D448" t="inlineStr">
        <is>
          <t>List with criteria/condition</t>
        </is>
      </c>
      <c r="E448" t="inlineStr">
        <is>
          <t>Complete</t>
        </is>
      </c>
      <c r="F448" s="3">
        <v>41897</v>
      </c>
      <c r="G448" s="3">
        <v>42081</v>
      </c>
      <c r="H448" t="inlineStr">
        <is>
          <t>SR0395</t>
        </is>
      </c>
      <c r="N448" t="inlineStr">
        <is>
          <t>Gilead Sciences Canada Inc.</t>
        </is>
      </c>
      <c r="Q448" t="inlineStr">
        <is>
          <t>Pre-NOC</t>
        </is>
      </c>
    </row>
    <row r="449">
      <c r="A449" s="2">
        <f>HYPERLINK("https://www.cadth.ca/ledipasvir-sofosbuvir-5", "Harvoni")</f>
        <v>0</v>
      </c>
      <c r="B449" t="inlineStr">
        <is>
          <t>ledipasvir, sofosbuvir</t>
        </is>
      </c>
      <c r="C449" t="inlineStr">
        <is>
          <t>Hepatitis C, chronic</t>
        </is>
      </c>
      <c r="D449" t="inlineStr">
        <is>
          <t>Reimburse with clinical criteria and/or conditions</t>
        </is>
      </c>
      <c r="E449" t="inlineStr">
        <is>
          <t>Complete</t>
        </is>
      </c>
      <c r="F449" s="3">
        <v>42375</v>
      </c>
      <c r="G449" s="3">
        <v>42508</v>
      </c>
      <c r="H449" t="inlineStr">
        <is>
          <t>SF0465-000</t>
        </is>
      </c>
      <c r="N449" t="inlineStr">
        <is>
          <t>Gilead Sciences Canada Inc.</t>
        </is>
      </c>
      <c r="Q449" t="inlineStr">
        <is>
          <t>Request For Advice</t>
        </is>
      </c>
    </row>
    <row r="450">
      <c r="A450" s="2">
        <f>HYPERLINK("https://www.cadth.ca/propranolol-oral-solution", "Hemangiol")</f>
        <v>0</v>
      </c>
      <c r="B450" t="inlineStr">
        <is>
          <t>Propranolol oral solution</t>
        </is>
      </c>
      <c r="C450" t="inlineStr">
        <is>
          <t>Infantile hemangioma</t>
        </is>
      </c>
      <c r="D450" t="inlineStr">
        <is>
          <t>Reimburse with clinical criteria and/or conditions</t>
        </is>
      </c>
      <c r="E450" t="inlineStr">
        <is>
          <t>Complete</t>
        </is>
      </c>
      <c r="F450" s="3">
        <v>42607</v>
      </c>
      <c r="G450" s="3">
        <v>42787</v>
      </c>
      <c r="H450" t="inlineStr">
        <is>
          <t>SR0496-000</t>
        </is>
      </c>
      <c r="N450" t="inlineStr">
        <is>
          <t>Pierre Fabre Dermo-Cosmétique</t>
        </is>
      </c>
      <c r="Q450" t="inlineStr">
        <is>
          <t>Initial</t>
        </is>
      </c>
    </row>
    <row r="451">
      <c r="A451" s="2">
        <f>HYPERLINK("https://www.cadth.ca/propranolol", "Hemangiol")</f>
        <v>0</v>
      </c>
      <c r="B451" t="inlineStr">
        <is>
          <t>Propranolol</t>
        </is>
      </c>
      <c r="C451" t="inlineStr">
        <is>
          <t>Infantile hemangioma</t>
        </is>
      </c>
      <c r="E451" t="inlineStr">
        <is>
          <t>Withdrawn</t>
        </is>
      </c>
      <c r="F451" s="3">
        <v>41996</v>
      </c>
      <c r="H451" t="inlineStr">
        <is>
          <t>SR0411-000</t>
        </is>
      </c>
      <c r="N451" t="inlineStr">
        <is>
          <t>Pierre Fabre Dermo-Cosmétique Canada Inc.</t>
        </is>
      </c>
      <c r="Q451" t="inlineStr">
        <is>
          <t>Pre-NOC</t>
        </is>
      </c>
    </row>
    <row r="452">
      <c r="A452" s="2">
        <f>HYPERLINK("https://www.cadth.ca/emicizumab", "Hemlibra")</f>
        <v>0</v>
      </c>
      <c r="B452" t="inlineStr">
        <is>
          <t>emicizumab</t>
        </is>
      </c>
      <c r="C452" t="inlineStr">
        <is>
          <t>Indicated for hemophilia A (congenital factor VIII deficiency) patients with or without factor VIII inhibitors as routine prophylaxis to prevent bleeding or reduce the frequency of bleeding episodes. There is limited clinical experience of Hemlibra use in patients with mild or moderate hemophilia A.</t>
        </is>
      </c>
      <c r="E452" t="inlineStr">
        <is>
          <t>Active</t>
        </is>
      </c>
      <c r="F452" s="3">
        <v>44012</v>
      </c>
      <c r="H452" t="inlineStr">
        <is>
          <t>ST0651-000</t>
        </is>
      </c>
      <c r="N452" t="inlineStr">
        <is>
          <t>Hoffmann-La Roche Ltd.</t>
        </is>
      </c>
      <c r="Q452" t="inlineStr">
        <is>
          <t>Initial</t>
        </is>
      </c>
    </row>
    <row r="453">
      <c r="A453" s="2">
        <f>HYPERLINK("https://www.cadth.ca/adefovir-dipivoxil-14", "Hepsera")</f>
        <v>0</v>
      </c>
      <c r="B453" t="inlineStr">
        <is>
          <t>Adefovir dipivoxil</t>
        </is>
      </c>
      <c r="C453" t="inlineStr">
        <is>
          <t>Hepatitis B</t>
        </is>
      </c>
      <c r="D453" t="inlineStr">
        <is>
          <t>List with clinical criteria and/or conditions</t>
        </is>
      </c>
      <c r="E453" t="inlineStr">
        <is>
          <t>Complete</t>
        </is>
      </c>
      <c r="F453" s="3">
        <v>39262</v>
      </c>
      <c r="G453" s="3">
        <v>39373</v>
      </c>
      <c r="H453" t="inlineStr">
        <is>
          <t>S0103</t>
        </is>
      </c>
      <c r="N453" t="inlineStr">
        <is>
          <t>gilead Sciences Canada Inc.</t>
        </is>
      </c>
      <c r="Q453" t="inlineStr">
        <is>
          <t>Request For Advice</t>
        </is>
      </c>
    </row>
    <row r="454">
      <c r="A454" s="2">
        <f>HYPERLINK("https://www.cadth.ca/adefovir-dipivoxil-13", "Hepsera")</f>
        <v>0</v>
      </c>
      <c r="B454" t="inlineStr">
        <is>
          <t>Adefovir dipivoxil</t>
        </is>
      </c>
      <c r="C454" t="inlineStr">
        <is>
          <t>Hepatitis B</t>
        </is>
      </c>
      <c r="D454" t="inlineStr">
        <is>
          <t>Do not list</t>
        </is>
      </c>
      <c r="E454" t="inlineStr">
        <is>
          <t>Complete</t>
        </is>
      </c>
      <c r="F454" s="3">
        <v>38831</v>
      </c>
      <c r="G454" s="3">
        <v>39050</v>
      </c>
      <c r="H454" t="inlineStr">
        <is>
          <t>S0060</t>
        </is>
      </c>
      <c r="N454" t="inlineStr">
        <is>
          <t>Gilead Sciences Canada Inc.</t>
        </is>
      </c>
      <c r="Q454" t="inlineStr">
        <is>
          <t>Initial</t>
        </is>
      </c>
    </row>
    <row r="455">
      <c r="A455" s="2">
        <f>HYPERLINK("https://www.cadth.ca/ombitasvirparitaprevirritonavir-and-dasabuvir-4", "Holkira Pak")</f>
        <v>0</v>
      </c>
      <c r="B455" t="inlineStr">
        <is>
          <t>Ombitasvir/paritaprevir/ritonavir and dasabuvir</t>
        </is>
      </c>
      <c r="C455" t="inlineStr">
        <is>
          <t>Hepatitis C, chronic</t>
        </is>
      </c>
      <c r="D455" t="inlineStr">
        <is>
          <t>List with clinical criteria and/or conditions</t>
        </is>
      </c>
      <c r="E455" t="inlineStr">
        <is>
          <t>Complete</t>
        </is>
      </c>
      <c r="F455" s="3">
        <v>41976</v>
      </c>
      <c r="G455" s="3">
        <v>42173</v>
      </c>
      <c r="H455" t="inlineStr">
        <is>
          <t>SR0406-000</t>
        </is>
      </c>
      <c r="N455" t="inlineStr">
        <is>
          <t>AbbVie Corporation</t>
        </is>
      </c>
      <c r="Q455" t="inlineStr">
        <is>
          <t>Pre-NOC</t>
        </is>
      </c>
    </row>
    <row r="456">
      <c r="A456" s="2">
        <f>HYPERLINK("https://www.cadth.ca/ombitasvir-paritaprevir-ritonavir-and-dasabuvir", "Holkira Pak")</f>
        <v>0</v>
      </c>
      <c r="B456" t="inlineStr">
        <is>
          <t>ombitasvir/paritaprevir/ritonavir and dasabuvir</t>
        </is>
      </c>
      <c r="C456" t="inlineStr">
        <is>
          <t>Hepatitis C, chronic</t>
        </is>
      </c>
      <c r="D456" t="inlineStr">
        <is>
          <t>Reimburse with clinical criteria and/or conditions</t>
        </is>
      </c>
      <c r="E456" t="inlineStr">
        <is>
          <t>Complete</t>
        </is>
      </c>
      <c r="F456" s="3">
        <v>42375</v>
      </c>
      <c r="G456" s="3">
        <v>42509</v>
      </c>
      <c r="H456" t="inlineStr">
        <is>
          <t>SF0466-000</t>
        </is>
      </c>
      <c r="N456" t="inlineStr">
        <is>
          <t>AbbVie Corporation</t>
        </is>
      </c>
      <c r="Q456" t="inlineStr">
        <is>
          <t>Request For Advice</t>
        </is>
      </c>
    </row>
    <row r="457">
      <c r="A457" s="2">
        <f>HYPERLINK("https://www.cadth.ca/adalimumab-47", "Humira")</f>
        <v>0</v>
      </c>
      <c r="B457" t="inlineStr">
        <is>
          <t>Adalimumab</t>
        </is>
      </c>
      <c r="C457" t="inlineStr">
        <is>
          <t>Crohn's disease</t>
        </is>
      </c>
      <c r="D457" t="inlineStr">
        <is>
          <t>List with clinical criteria and/or conditions</t>
        </is>
      </c>
      <c r="E457" t="inlineStr">
        <is>
          <t>Complete</t>
        </is>
      </c>
      <c r="F457" s="3">
        <v>39275</v>
      </c>
      <c r="G457" s="3">
        <v>39435</v>
      </c>
      <c r="H457" t="inlineStr">
        <is>
          <t>S0105</t>
        </is>
      </c>
      <c r="N457" t="inlineStr">
        <is>
          <t>Abbott Laboratories, Limited</t>
        </is>
      </c>
      <c r="Q457" t="inlineStr">
        <is>
          <t>Resubmission 3</t>
        </is>
      </c>
    </row>
    <row r="458">
      <c r="A458" s="2">
        <f>HYPERLINK("https://www.cadth.ca/adalimumab-40", "Humira")</f>
        <v>0</v>
      </c>
      <c r="B458" t="inlineStr">
        <is>
          <t>Adalimumab</t>
        </is>
      </c>
      <c r="C458" t="inlineStr">
        <is>
          <t>Arthritis, Rheumatoid</t>
        </is>
      </c>
      <c r="D458" t="inlineStr">
        <is>
          <t>List with clinical criteria and/or conditions</t>
        </is>
      </c>
      <c r="E458" t="inlineStr">
        <is>
          <t>Complete</t>
        </is>
      </c>
      <c r="F458" s="3">
        <v>38254</v>
      </c>
      <c r="G458" s="3">
        <v>38394</v>
      </c>
      <c r="H458" t="inlineStr">
        <is>
          <t>S0022</t>
        </is>
      </c>
      <c r="N458" t="inlineStr">
        <is>
          <t>Abbott Laboratories Limited</t>
        </is>
      </c>
      <c r="Q458" t="inlineStr">
        <is>
          <t>Initial</t>
        </is>
      </c>
    </row>
    <row r="459">
      <c r="A459" s="2">
        <f>HYPERLINK("https://www.cadth.ca/adalimumab-49", "Humira")</f>
        <v>0</v>
      </c>
      <c r="B459" t="inlineStr">
        <is>
          <t>Adalimumab</t>
        </is>
      </c>
      <c r="C459" t="inlineStr">
        <is>
          <t>Arthritis, Juvenile Idiopathic</t>
        </is>
      </c>
      <c r="D459" t="inlineStr">
        <is>
          <t>List with clinical criteria and/or conditions</t>
        </is>
      </c>
      <c r="E459" t="inlineStr">
        <is>
          <t>Complete</t>
        </is>
      </c>
      <c r="F459" s="3">
        <v>41309</v>
      </c>
      <c r="G459" s="3">
        <v>41473</v>
      </c>
      <c r="H459" t="inlineStr">
        <is>
          <t>SR0308</t>
        </is>
      </c>
      <c r="N459" t="inlineStr">
        <is>
          <t>AbbVie Corporation</t>
        </is>
      </c>
      <c r="Q459" t="inlineStr">
        <is>
          <t>New Indication</t>
        </is>
      </c>
    </row>
    <row r="460">
      <c r="A460" s="2">
        <f>HYPERLINK("https://www.cadth.ca/adalimumab-46", "Humira")</f>
        <v>0</v>
      </c>
      <c r="B460" t="inlineStr">
        <is>
          <t>Adalimumab</t>
        </is>
      </c>
      <c r="C460" t="inlineStr">
        <is>
          <t>Ankylosing spondylitis (AS)</t>
        </is>
      </c>
      <c r="D460" t="inlineStr">
        <is>
          <t>List with clinical criteria and/or conditions</t>
        </is>
      </c>
      <c r="E460" t="inlineStr">
        <is>
          <t>Complete</t>
        </is>
      </c>
      <c r="F460" s="3">
        <v>39038</v>
      </c>
      <c r="G460" s="3">
        <v>39260</v>
      </c>
      <c r="H460" t="inlineStr">
        <is>
          <t>S0087</t>
        </is>
      </c>
      <c r="N460" t="inlineStr">
        <is>
          <t>Abbott Laboratories, Limited</t>
        </is>
      </c>
      <c r="Q460" t="inlineStr">
        <is>
          <t>Resubmission 2</t>
        </is>
      </c>
    </row>
    <row r="461">
      <c r="A461" s="2">
        <f>HYPERLINK("https://www.cadth.ca/humira", "Humira")</f>
        <v>0</v>
      </c>
      <c r="B461" t="inlineStr">
        <is>
          <t>Adalimumab</t>
        </is>
      </c>
      <c r="C461" t="inlineStr">
        <is>
          <t>Ulcerative Colitis</t>
        </is>
      </c>
      <c r="D461" t="inlineStr">
        <is>
          <t>Do not list at the submitted price</t>
        </is>
      </c>
      <c r="E461" t="inlineStr">
        <is>
          <t>Complete</t>
        </is>
      </c>
      <c r="F461" s="3">
        <v>42272</v>
      </c>
      <c r="G461" s="3">
        <v>42475</v>
      </c>
      <c r="H461" t="inlineStr">
        <is>
          <t>SR0450-000</t>
        </is>
      </c>
      <c r="N461" t="inlineStr">
        <is>
          <t>AbbVie Corporation</t>
        </is>
      </c>
      <c r="Q461" t="inlineStr">
        <is>
          <t>New Indication</t>
        </is>
      </c>
    </row>
    <row r="462">
      <c r="A462" s="2">
        <f>HYPERLINK("https://www.cadth.ca/adalimumab-50", "Humira")</f>
        <v>0</v>
      </c>
      <c r="B462" t="inlineStr">
        <is>
          <t>Adalimumab</t>
        </is>
      </c>
      <c r="C462" t="inlineStr">
        <is>
          <t>Ulcerative colitis</t>
        </is>
      </c>
      <c r="E462" t="inlineStr">
        <is>
          <t>Withdrawn</t>
        </is>
      </c>
      <c r="F462" s="3">
        <v>41631</v>
      </c>
      <c r="H462" t="inlineStr">
        <is>
          <t>SR0365</t>
        </is>
      </c>
      <c r="N462" t="inlineStr">
        <is>
          <t>AbbVie</t>
        </is>
      </c>
      <c r="Q462" t="inlineStr">
        <is>
          <t>New Indication</t>
        </is>
      </c>
    </row>
    <row r="463">
      <c r="A463" s="2">
        <f>HYPERLINK("https://www.cadth.ca/adalimumab-48", "Humira")</f>
        <v>0</v>
      </c>
      <c r="B463" t="inlineStr">
        <is>
          <t>Adalimumab</t>
        </is>
      </c>
      <c r="C463" t="inlineStr">
        <is>
          <t>Psoriasis</t>
        </is>
      </c>
      <c r="D463" t="inlineStr">
        <is>
          <t>List with clinical criteria and/or conditions</t>
        </is>
      </c>
      <c r="E463" t="inlineStr">
        <is>
          <t>Complete</t>
        </is>
      </c>
      <c r="F463" s="3">
        <v>39553</v>
      </c>
      <c r="G463" s="3">
        <v>39737</v>
      </c>
      <c r="H463" t="inlineStr">
        <is>
          <t>S0130</t>
        </is>
      </c>
      <c r="N463" t="inlineStr">
        <is>
          <t>Abbott Laboratories, Limited</t>
        </is>
      </c>
      <c r="Q463" t="inlineStr">
        <is>
          <t>New Indication</t>
        </is>
      </c>
    </row>
    <row r="464">
      <c r="A464" s="2">
        <f>HYPERLINK("https://www.cadth.ca/adalimumab-45", "Humira")</f>
        <v>0</v>
      </c>
      <c r="B464" t="inlineStr">
        <is>
          <t>Adalimumab</t>
        </is>
      </c>
      <c r="C464" t="inlineStr">
        <is>
          <t>Arthritis, Psoriatic</t>
        </is>
      </c>
      <c r="D464" t="inlineStr">
        <is>
          <t>List with clinical criteria and/or conditions</t>
        </is>
      </c>
      <c r="E464" t="inlineStr">
        <is>
          <t>Complete</t>
        </is>
      </c>
      <c r="F464" s="3">
        <v>38889</v>
      </c>
      <c r="G464" s="3">
        <v>39050</v>
      </c>
      <c r="H464" t="inlineStr">
        <is>
          <t>S0066</t>
        </is>
      </c>
      <c r="N464" t="inlineStr">
        <is>
          <t>Abbott Laboratories Limited</t>
        </is>
      </c>
      <c r="Q464" t="inlineStr">
        <is>
          <t>Resubmission</t>
        </is>
      </c>
    </row>
    <row r="465">
      <c r="A465" s="2">
        <f>HYPERLINK("https://www.cadth.ca/adalimumab-humira", "Humira")</f>
        <v>0</v>
      </c>
      <c r="B465" t="inlineStr">
        <is>
          <t>Adalimumab</t>
        </is>
      </c>
      <c r="C465" t="inlineStr">
        <is>
          <t>Hidradenitis suppurativa</t>
        </is>
      </c>
      <c r="D465" t="inlineStr">
        <is>
          <t>Reimburse with clinical criteria and/or conditions</t>
        </is>
      </c>
      <c r="E465" t="inlineStr">
        <is>
          <t>Complete</t>
        </is>
      </c>
      <c r="F465" s="3">
        <v>42311</v>
      </c>
      <c r="G465" s="3">
        <v>42509</v>
      </c>
      <c r="H465" t="inlineStr">
        <is>
          <t>SR0455-000</t>
        </is>
      </c>
      <c r="N465" t="inlineStr">
        <is>
          <t>AbbVie Corporation</t>
        </is>
      </c>
      <c r="Q465" t="inlineStr">
        <is>
          <t>New Indication</t>
        </is>
      </c>
    </row>
    <row r="466">
      <c r="A466" s="2">
        <f>HYPERLINK("https://www.cadth.ca/golimumab-38", "Simponi I.V.")</f>
        <v>0</v>
      </c>
      <c r="B466" t="inlineStr">
        <is>
          <t>Golimumab</t>
        </is>
      </c>
      <c r="C466" t="inlineStr">
        <is>
          <t>Arthritis, Rheumatoid</t>
        </is>
      </c>
      <c r="D466" t="inlineStr">
        <is>
          <t>List with criteria/condition</t>
        </is>
      </c>
      <c r="E466" t="inlineStr">
        <is>
          <t>Complete</t>
        </is>
      </c>
      <c r="F466" s="3">
        <v>41529</v>
      </c>
      <c r="G466" s="3">
        <v>41837</v>
      </c>
      <c r="H466" t="inlineStr">
        <is>
          <t>SR0351</t>
        </is>
      </c>
      <c r="N466" t="inlineStr">
        <is>
          <t>Janssen Inc.</t>
        </is>
      </c>
      <c r="Q466" t="inlineStr">
        <is>
          <t>Pre-NOC</t>
        </is>
      </c>
    </row>
    <row r="467">
      <c r="A467" s="2">
        <f>HYPERLINK("https://www.cadth.ca/ustekinumab-15", "Stelara/Stelara I.V.")</f>
        <v>0</v>
      </c>
      <c r="B467" t="inlineStr">
        <is>
          <t>ustekinumab</t>
        </is>
      </c>
      <c r="C467" t="inlineStr">
        <is>
          <t>Crohn’s disease</t>
        </is>
      </c>
      <c r="D467" t="inlineStr">
        <is>
          <t>Reimburse with clinical criteria and/or conditions</t>
        </is>
      </c>
      <c r="E467" t="inlineStr">
        <is>
          <t>Complete</t>
        </is>
      </c>
      <c r="F467" s="3">
        <v>42625</v>
      </c>
      <c r="G467" s="3">
        <v>42815</v>
      </c>
      <c r="H467" t="inlineStr">
        <is>
          <t>SR0501-000</t>
        </is>
      </c>
      <c r="N467" t="inlineStr">
        <is>
          <t>Janssen Inc.</t>
        </is>
      </c>
      <c r="Q467" t="inlineStr">
        <is>
          <t>New Indication</t>
        </is>
      </c>
    </row>
    <row r="468">
      <c r="A468" s="2">
        <f>HYPERLINK("https://www.cadth.ca/ustekinumab-16", "Stelara/Stelara I.V")</f>
        <v>0</v>
      </c>
      <c r="B468" t="inlineStr">
        <is>
          <t>ustekinumab</t>
        </is>
      </c>
      <c r="C468" t="inlineStr">
        <is>
          <t>Ulcerative colitis</t>
        </is>
      </c>
      <c r="D468" t="inlineStr">
        <is>
          <t>Reimburse with clinical criteria and/or conditions</t>
        </is>
      </c>
      <c r="E468" t="inlineStr">
        <is>
          <t>Complete</t>
        </is>
      </c>
      <c r="F468" s="3">
        <v>43689</v>
      </c>
      <c r="G468" s="3">
        <v>44028</v>
      </c>
      <c r="H468" t="inlineStr">
        <is>
          <t>SR0627-000</t>
        </is>
      </c>
      <c r="N468" t="inlineStr">
        <is>
          <t>Janssen Inc.</t>
        </is>
      </c>
      <c r="Q468" t="inlineStr">
        <is>
          <t>Initial</t>
        </is>
      </c>
    </row>
    <row r="469">
      <c r="A469" s="2">
        <f>HYPERLINK("https://www.cadth.ca/cyclosporine-7", "Ikervis")</f>
        <v>0</v>
      </c>
      <c r="B469" t="inlineStr">
        <is>
          <t>cyclosporine</t>
        </is>
      </c>
      <c r="C469" t="inlineStr">
        <is>
          <t>keratitis, severe</t>
        </is>
      </c>
      <c r="E469" t="inlineStr">
        <is>
          <t>Withdrawn</t>
        </is>
      </c>
      <c r="F469" s="3">
        <v>42870</v>
      </c>
      <c r="H469" t="inlineStr">
        <is>
          <t>SR0518-000</t>
        </is>
      </c>
      <c r="N469" t="inlineStr">
        <is>
          <t>Santen Canada Incorporated</t>
        </is>
      </c>
      <c r="Q469" t="inlineStr">
        <is>
          <t>Initial</t>
        </is>
      </c>
    </row>
    <row r="470">
      <c r="A470" s="2">
        <f>HYPERLINK("https://www.cadth.ca/canakinumab-6", "Ilaris")</f>
        <v>0</v>
      </c>
      <c r="B470" t="inlineStr">
        <is>
          <t>Canakinumab</t>
        </is>
      </c>
      <c r="C470" t="inlineStr">
        <is>
          <t>Cryopyrin-Associated Periodic Syndrome (CAPS)</t>
        </is>
      </c>
      <c r="D470" t="inlineStr">
        <is>
          <t>Do not list</t>
        </is>
      </c>
      <c r="E470" t="inlineStr">
        <is>
          <t>Complete</t>
        </is>
      </c>
      <c r="F470" s="3">
        <v>40366</v>
      </c>
      <c r="G470" s="3">
        <v>40569</v>
      </c>
      <c r="H470" t="inlineStr">
        <is>
          <t>S0204</t>
        </is>
      </c>
      <c r="N470" t="inlineStr">
        <is>
          <t>Novartis Pharmaceuticals Canada Inc.</t>
        </is>
      </c>
      <c r="Q470" t="inlineStr">
        <is>
          <t>Initial</t>
        </is>
      </c>
    </row>
    <row r="471">
      <c r="A471" s="2">
        <f>HYPERLINK("https://www.cadth.ca/canakinumab-7", "Ilaris")</f>
        <v>0</v>
      </c>
      <c r="B471" t="inlineStr">
        <is>
          <t>Canakinumab</t>
        </is>
      </c>
      <c r="C471" t="inlineStr">
        <is>
          <t>Systemic juvenile idiopathic arthritis</t>
        </is>
      </c>
      <c r="D471" t="inlineStr">
        <is>
          <t>Reimburse with clinical criteria and/or conditions</t>
        </is>
      </c>
      <c r="E471" t="inlineStr">
        <is>
          <t>Complete</t>
        </is>
      </c>
      <c r="F471" s="3">
        <v>42361</v>
      </c>
      <c r="G471" s="3">
        <v>42538</v>
      </c>
      <c r="H471" t="inlineStr">
        <is>
          <t>SR0463-000</t>
        </is>
      </c>
      <c r="N471" t="inlineStr">
        <is>
          <t>Novartis Pharmaceuticals Inc.</t>
        </is>
      </c>
      <c r="Q471" t="inlineStr">
        <is>
          <t>New Indication</t>
        </is>
      </c>
    </row>
    <row r="472">
      <c r="A472" s="2">
        <f>HYPERLINK("https://www.cadth.ca/tildrakizumab", "Ilumya")</f>
        <v>0</v>
      </c>
      <c r="B472" t="inlineStr">
        <is>
          <t>tildrakizumab</t>
        </is>
      </c>
      <c r="C472" t="inlineStr">
        <is>
          <t>Psoriasis, moderate to severe plaque</t>
        </is>
      </c>
      <c r="E472" t="inlineStr">
        <is>
          <t>Suspended</t>
        </is>
      </c>
      <c r="F472" s="3">
        <v>43661</v>
      </c>
      <c r="H472" t="inlineStr">
        <is>
          <t>SR0624-000</t>
        </is>
      </c>
      <c r="N472" t="inlineStr">
        <is>
          <t>Sun Pharma Canada</t>
        </is>
      </c>
      <c r="Q472" t="inlineStr">
        <is>
          <t>Initial</t>
        </is>
      </c>
    </row>
    <row r="473">
      <c r="A473" s="2">
        <f>HYPERLINK("https://www.cadth.ca/fluocinolone-acetonide", "Iluvien")</f>
        <v>0</v>
      </c>
      <c r="B473" t="inlineStr">
        <is>
          <t>fluocinolone acetonide</t>
        </is>
      </c>
      <c r="C473" t="inlineStr">
        <is>
          <t>Diabetic macular edema (DME)</t>
        </is>
      </c>
      <c r="E473" t="inlineStr">
        <is>
          <t>Withdrawn</t>
        </is>
      </c>
      <c r="F473" s="3">
        <v>43090</v>
      </c>
      <c r="H473" t="inlineStr">
        <is>
          <t>SR0549-000</t>
        </is>
      </c>
      <c r="N473" t="inlineStr">
        <is>
          <t>Knight Therapeutics Inc.</t>
        </is>
      </c>
      <c r="Q473" t="inlineStr">
        <is>
          <t>Initial</t>
        </is>
      </c>
    </row>
    <row r="474">
      <c r="A474" s="2">
        <f>HYPERLINK("https://www.cadth.ca/fluocinolone-acetonide-intravitreal-implant", "Iluvien")</f>
        <v>0</v>
      </c>
      <c r="B474" t="inlineStr">
        <is>
          <t>fluocinolone acetonide intravitreal implant</t>
        </is>
      </c>
      <c r="C474" t="inlineStr">
        <is>
          <t>diabetic macular edema</t>
        </is>
      </c>
      <c r="D474" t="inlineStr">
        <is>
          <t>Do not reimburse</t>
        </is>
      </c>
      <c r="E474" t="inlineStr">
        <is>
          <t>Complete</t>
        </is>
      </c>
      <c r="F474" s="3">
        <v>43558</v>
      </c>
      <c r="G474" s="3">
        <v>43734</v>
      </c>
      <c r="H474" t="inlineStr">
        <is>
          <t>SR0608-000</t>
        </is>
      </c>
      <c r="N474" t="inlineStr">
        <is>
          <t>Knight Therapeutics Inc.</t>
        </is>
      </c>
      <c r="Q474" t="inlineStr">
        <is>
          <t>Initial</t>
        </is>
      </c>
    </row>
    <row r="475">
      <c r="A475" s="2">
        <f>HYPERLINK("https://www.cadth.ca/ibrutinib", "Imbruvica")</f>
        <v>0</v>
      </c>
      <c r="B475" t="inlineStr">
        <is>
          <t>ibrutinib</t>
        </is>
      </c>
      <c r="C475" t="inlineStr">
        <is>
          <t>Chronic graft versus host disease</t>
        </is>
      </c>
      <c r="D475" t="inlineStr">
        <is>
          <t>CADTH is unable to recommend reimbursement as a submission was not filed by the manufacturer</t>
        </is>
      </c>
      <c r="E475" t="inlineStr">
        <is>
          <t>NotFiled</t>
        </is>
      </c>
      <c r="N475" t="inlineStr">
        <is>
          <t>Janssen Canada Inc.</t>
        </is>
      </c>
      <c r="Q475" t="inlineStr">
        <is>
          <t>Non-submission</t>
        </is>
      </c>
    </row>
    <row r="476">
      <c r="A476" s="2">
        <f>HYPERLINK("https://www.cadth.ca/durvalumab", "Imfinzi")</f>
        <v>0</v>
      </c>
      <c r="B476" t="inlineStr">
        <is>
          <t>durvalumab</t>
        </is>
      </c>
      <c r="C476" t="inlineStr">
        <is>
          <t>Imfinzi (durvalumab) in combination with etoposide and either carboplatin or cisplatin is indicated for the first-line treatment of patients with extensive-stage small cell lung cancer (ES-SCLC).</t>
        </is>
      </c>
      <c r="E476" t="inlineStr">
        <is>
          <t>Pending</t>
        </is>
      </c>
      <c r="H476" t="inlineStr">
        <is>
          <t>PC0234-000</t>
        </is>
      </c>
      <c r="N476" t="inlineStr">
        <is>
          <t>AstraZeneca Canada Inc.</t>
        </is>
      </c>
      <c r="Q476" t="inlineStr">
        <is>
          <t>Initial</t>
        </is>
      </c>
    </row>
    <row r="477">
      <c r="A477" s="2">
        <f>HYPERLINK("https://www.cadth.ca/telaprevir-20", "Incivek")</f>
        <v>0</v>
      </c>
      <c r="B477" t="inlineStr">
        <is>
          <t>Telaprevir</t>
        </is>
      </c>
      <c r="C477" t="inlineStr">
        <is>
          <t>Hepatitis C infection (genotype 1), Chronic</t>
        </is>
      </c>
      <c r="D477" t="inlineStr">
        <is>
          <t>List with clinical criteria and/or conditions</t>
        </is>
      </c>
      <c r="E477" t="inlineStr">
        <is>
          <t>Complete</t>
        </is>
      </c>
      <c r="F477" s="3">
        <v>40778</v>
      </c>
      <c r="G477" s="3">
        <v>40954</v>
      </c>
      <c r="H477" t="inlineStr">
        <is>
          <t>S0249</t>
        </is>
      </c>
      <c r="N477" t="inlineStr">
        <is>
          <t>Vertex Pharmaceuticals Inc.</t>
        </is>
      </c>
      <c r="Q477" t="inlineStr">
        <is>
          <t>Initial</t>
        </is>
      </c>
    </row>
    <row r="478">
      <c r="A478" s="2">
        <f>HYPERLINK("https://www.cadth.ca/telaprevir-22", "Incivek")</f>
        <v>0</v>
      </c>
      <c r="B478" t="inlineStr">
        <is>
          <t>Telaprevir</t>
        </is>
      </c>
      <c r="C478" t="inlineStr">
        <is>
          <t>Hepatitis C infection, chronic</t>
        </is>
      </c>
      <c r="D478" t="inlineStr">
        <is>
          <t>List with criteria/condition</t>
        </is>
      </c>
      <c r="E478" t="inlineStr">
        <is>
          <t>Complete</t>
        </is>
      </c>
      <c r="F478" s="3">
        <v>41324</v>
      </c>
      <c r="G478" s="3">
        <v>41438</v>
      </c>
      <c r="H478" t="inlineStr">
        <is>
          <t>SF0311</t>
        </is>
      </c>
      <c r="N478" t="inlineStr">
        <is>
          <t>Vertex Pharmaceuticals Canada Inc.</t>
        </is>
      </c>
      <c r="Q478" t="inlineStr">
        <is>
          <t>Request For Advice</t>
        </is>
      </c>
    </row>
    <row r="479">
      <c r="A479" s="2">
        <f>HYPERLINK("https://www.cadth.ca/telaprevir-21", "Incivek")</f>
        <v>0</v>
      </c>
      <c r="B479" t="inlineStr">
        <is>
          <t>Telaprevir</t>
        </is>
      </c>
      <c r="C479" t="inlineStr">
        <is>
          <t>Hepatitis C, chronic</t>
        </is>
      </c>
      <c r="D479" t="inlineStr">
        <is>
          <t>List with criteria/condition</t>
        </is>
      </c>
      <c r="E479" t="inlineStr">
        <is>
          <t>Complete</t>
        </is>
      </c>
      <c r="F479" s="3">
        <v>41264</v>
      </c>
      <c r="G479" s="3">
        <v>41438</v>
      </c>
      <c r="H479" t="inlineStr">
        <is>
          <t>SF0305-000</t>
        </is>
      </c>
      <c r="N479" t="inlineStr">
        <is>
          <t>Vertex Pharmaceuticals Canada Inc.</t>
        </is>
      </c>
      <c r="Q479" t="inlineStr">
        <is>
          <t>Request For Advice</t>
        </is>
      </c>
    </row>
    <row r="480">
      <c r="A480" s="2">
        <f>HYPERLINK("https://www.cadth.ca/infliximab-18", "Inflectra")</f>
        <v>0</v>
      </c>
      <c r="B480" t="inlineStr">
        <is>
          <t>Infliximab</t>
        </is>
      </c>
      <c r="C480" t="inlineStr">
        <is>
          <t>Ankylosing spondylitis, plaque psoriasis, psoriatic arthritis, rheumatoid arthritis</t>
        </is>
      </c>
      <c r="D480" t="inlineStr">
        <is>
          <t>List with criteria/condition</t>
        </is>
      </c>
      <c r="E480" t="inlineStr">
        <is>
          <t>Complete</t>
        </is>
      </c>
      <c r="F480" s="3">
        <v>41807</v>
      </c>
      <c r="G480" s="3">
        <v>41992</v>
      </c>
      <c r="H480" t="inlineStr">
        <is>
          <t>SE0384-000</t>
        </is>
      </c>
      <c r="N480" t="inlineStr">
        <is>
          <t>Hospira Healthcare Corporation</t>
        </is>
      </c>
      <c r="Q480" t="inlineStr">
        <is>
          <t>Initial</t>
        </is>
      </c>
    </row>
    <row r="481">
      <c r="A481" s="2">
        <f>HYPERLINK("https://www.cadth.ca/fedratinib", "Inrebic")</f>
        <v>0</v>
      </c>
      <c r="B481" t="inlineStr">
        <is>
          <t>Fedratinib</t>
        </is>
      </c>
      <c r="C481" t="inlineStr">
        <is>
          <t>​For the treatment of splenomegaly and/or disease-related symptoms in adult patients with intermediate-2 or high-risk primary myelofibrosis, post-polycythemia vera myelofibrosis or post-essential thrombocythemia myelofibrosis, including patients who have been previously exposed to ruxolitinib.</t>
        </is>
      </c>
      <c r="E481" t="inlineStr">
        <is>
          <t>Received</t>
        </is>
      </c>
      <c r="F481" s="3">
        <v>44140</v>
      </c>
      <c r="H481" t="inlineStr">
        <is>
          <t>PC0205-000</t>
        </is>
      </c>
      <c r="N481" t="inlineStr">
        <is>
          <t>Celgene Inc.</t>
        </is>
      </c>
      <c r="Q481" t="inlineStr">
        <is>
          <t>Initial</t>
        </is>
      </c>
    </row>
    <row r="482">
      <c r="A482" s="2">
        <f>HYPERLINK("https://www.cadth.ca/tiotropium-olodaterol", "Inspiolto Respimat")</f>
        <v>0</v>
      </c>
      <c r="B482" t="inlineStr">
        <is>
          <t>Tiotropium / olodaterol</t>
        </is>
      </c>
      <c r="C482" t="inlineStr">
        <is>
          <t>Chronic Obstructive Pulmonary Disease (COPD)</t>
        </is>
      </c>
      <c r="D482" t="inlineStr">
        <is>
          <t>List with criteria/condition</t>
        </is>
      </c>
      <c r="E482" t="inlineStr">
        <is>
          <t>Complete</t>
        </is>
      </c>
      <c r="F482" s="3">
        <v>42159</v>
      </c>
      <c r="G482" s="3">
        <v>42355</v>
      </c>
      <c r="H482" t="inlineStr">
        <is>
          <t>SR0436-000</t>
        </is>
      </c>
      <c r="N482" t="inlineStr">
        <is>
          <t>Boehringer Ingelheim (Canada) Ltd.</t>
        </is>
      </c>
      <c r="Q482" t="inlineStr">
        <is>
          <t>Initial</t>
        </is>
      </c>
    </row>
    <row r="483">
      <c r="A483" s="2">
        <f>HYPERLINK("https://www.cadth.ca/eplerenone-14", "Inspra")</f>
        <v>0</v>
      </c>
      <c r="B483" t="inlineStr">
        <is>
          <t>Eplerenone</t>
        </is>
      </c>
      <c r="C483" t="inlineStr">
        <is>
          <t>Heart failure, NYHA class II</t>
        </is>
      </c>
      <c r="D483" t="inlineStr">
        <is>
          <t>Do not list at the submitted price</t>
        </is>
      </c>
      <c r="E483" t="inlineStr">
        <is>
          <t>Complete</t>
        </is>
      </c>
      <c r="F483" s="3">
        <v>41467</v>
      </c>
      <c r="G483" s="3">
        <v>41753</v>
      </c>
      <c r="H483" t="inlineStr">
        <is>
          <t>SR0342</t>
        </is>
      </c>
      <c r="N483" t="inlineStr">
        <is>
          <t>Pfizer Canada Inc.</t>
        </is>
      </c>
      <c r="Q483" t="inlineStr">
        <is>
          <t>New Indication</t>
        </is>
      </c>
    </row>
    <row r="484">
      <c r="A484" s="2">
        <f>HYPERLINK("https://www.cadth.ca/eplerenone-13", "Inspra")</f>
        <v>0</v>
      </c>
      <c r="B484" t="inlineStr">
        <is>
          <t>Eplerenone</t>
        </is>
      </c>
      <c r="C484" t="inlineStr">
        <is>
          <t>Post myocardial infarction</t>
        </is>
      </c>
      <c r="D484" t="inlineStr">
        <is>
          <t>Do not list</t>
        </is>
      </c>
      <c r="E484" t="inlineStr">
        <is>
          <t>Complete</t>
        </is>
      </c>
      <c r="F484" s="3">
        <v>39939</v>
      </c>
      <c r="G484" s="3">
        <v>40142</v>
      </c>
      <c r="H484" t="inlineStr">
        <is>
          <t>S0165</t>
        </is>
      </c>
      <c r="N484" t="inlineStr">
        <is>
          <t>Pfizer Canada Inc.</t>
        </is>
      </c>
      <c r="Q484" t="inlineStr">
        <is>
          <t>Initial</t>
        </is>
      </c>
    </row>
    <row r="485">
      <c r="A485" s="2">
        <f>HYPERLINK("https://www.cadth.ca/etravirine-6", "Intelence")</f>
        <v>0</v>
      </c>
      <c r="B485" t="inlineStr">
        <is>
          <t>Etravirine</t>
        </is>
      </c>
      <c r="C485" t="inlineStr">
        <is>
          <t>HIV</t>
        </is>
      </c>
      <c r="D485" t="inlineStr">
        <is>
          <t>List with clinical criteria and/or conditions</t>
        </is>
      </c>
      <c r="E485" t="inlineStr">
        <is>
          <t>Complete</t>
        </is>
      </c>
      <c r="F485" s="3">
        <v>39540</v>
      </c>
      <c r="G485" s="3">
        <v>39674</v>
      </c>
      <c r="H485" t="inlineStr">
        <is>
          <t>S0129</t>
        </is>
      </c>
      <c r="N485" t="inlineStr">
        <is>
          <t>Janssen-Ortho Inc.</t>
        </is>
      </c>
      <c r="Q485" t="inlineStr">
        <is>
          <t>Initial</t>
        </is>
      </c>
    </row>
    <row r="486">
      <c r="A486" s="2">
        <f>HYPERLINK("https://www.cadth.ca/guanfacine-hydrochloride-6", "Intuniv XR")</f>
        <v>0</v>
      </c>
      <c r="B486" t="inlineStr">
        <is>
          <t>Guanfacine hydrochloride</t>
        </is>
      </c>
      <c r="C486" t="inlineStr">
        <is>
          <t>Attention-deficit/hyperactivity disorder (ADHD)</t>
        </is>
      </c>
      <c r="D486" t="inlineStr">
        <is>
          <t>Do not list</t>
        </is>
      </c>
      <c r="E486" t="inlineStr">
        <is>
          <t>Complete</t>
        </is>
      </c>
      <c r="F486" s="3">
        <v>41513</v>
      </c>
      <c r="G486" s="3">
        <v>41906</v>
      </c>
      <c r="H486" t="inlineStr">
        <is>
          <t>SR0349-000</t>
        </is>
      </c>
      <c r="N486" t="inlineStr">
        <is>
          <t>Shire Canada Inc.</t>
        </is>
      </c>
      <c r="Q486" t="inlineStr">
        <is>
          <t>Initial</t>
        </is>
      </c>
    </row>
    <row r="487">
      <c r="A487" s="2">
        <f>HYPERLINK("https://www.cadth.ca/paliperidone-6", "Invega")</f>
        <v>0</v>
      </c>
      <c r="B487" t="inlineStr">
        <is>
          <t>Paliperidone</t>
        </is>
      </c>
      <c r="C487" t="inlineStr">
        <is>
          <t>Schizophrenia</t>
        </is>
      </c>
      <c r="D487" t="inlineStr">
        <is>
          <t>Do not list</t>
        </is>
      </c>
      <c r="E487" t="inlineStr">
        <is>
          <t>Complete</t>
        </is>
      </c>
      <c r="F487" s="3">
        <v>39387</v>
      </c>
      <c r="G487" s="3">
        <v>39596</v>
      </c>
      <c r="H487" t="inlineStr">
        <is>
          <t>S0112</t>
        </is>
      </c>
      <c r="N487" t="inlineStr">
        <is>
          <t>Janssen-Ortho Inc.</t>
        </is>
      </c>
      <c r="Q487" t="inlineStr">
        <is>
          <t>Initial</t>
        </is>
      </c>
    </row>
    <row r="488">
      <c r="A488" s="2">
        <f>HYPERLINK("https://www.cadth.ca/paliperidone-palmitate-6", "Invega Sustenna")</f>
        <v>0</v>
      </c>
      <c r="B488" t="inlineStr">
        <is>
          <t>Paliperidone palmitate</t>
        </is>
      </c>
      <c r="C488" t="inlineStr">
        <is>
          <t>Schizophrenia</t>
        </is>
      </c>
      <c r="D488" t="inlineStr">
        <is>
          <t>Do not list</t>
        </is>
      </c>
      <c r="E488" t="inlineStr">
        <is>
          <t>Complete</t>
        </is>
      </c>
      <c r="F488" s="3">
        <v>40368</v>
      </c>
      <c r="G488" s="3">
        <v>40658</v>
      </c>
      <c r="H488" t="inlineStr">
        <is>
          <t>S0206</t>
        </is>
      </c>
      <c r="N488" t="inlineStr">
        <is>
          <t>Janssen-Ortho Inc.</t>
        </is>
      </c>
      <c r="Q488" t="inlineStr">
        <is>
          <t>Initial</t>
        </is>
      </c>
    </row>
    <row r="489">
      <c r="A489" s="2">
        <f>HYPERLINK("https://www.cadth.ca/canagliflozin-and-metformin-hydrochloride", "Invokamet")</f>
        <v>0</v>
      </c>
      <c r="B489" t="inlineStr">
        <is>
          <t>Canagliflozin and metformin hydrochloride</t>
        </is>
      </c>
      <c r="C489" t="inlineStr">
        <is>
          <t>Diabetes mellitus, type 2</t>
        </is>
      </c>
      <c r="D489" t="inlineStr">
        <is>
          <t>Reimburse with clinical criteria and/or conditions</t>
        </is>
      </c>
      <c r="E489" t="inlineStr">
        <is>
          <t>Complete</t>
        </is>
      </c>
      <c r="F489" s="3">
        <v>42432</v>
      </c>
      <c r="G489" s="3">
        <v>42607</v>
      </c>
      <c r="H489" t="inlineStr">
        <is>
          <t>SR0480-000</t>
        </is>
      </c>
      <c r="N489" t="inlineStr">
        <is>
          <t>Janssen Inc.</t>
        </is>
      </c>
      <c r="Q489" t="inlineStr">
        <is>
          <t>Initial</t>
        </is>
      </c>
    </row>
    <row r="490">
      <c r="A490" s="2">
        <f>HYPERLINK("https://www.cadth.ca/canagliflozin-9", "Invokana")</f>
        <v>0</v>
      </c>
      <c r="B490" t="inlineStr">
        <is>
          <t>Canagliflozin</t>
        </is>
      </c>
      <c r="C490" t="inlineStr">
        <is>
          <t>Diabetes mellitus, type 2</t>
        </is>
      </c>
      <c r="E490" t="inlineStr">
        <is>
          <t>Withdrawn</t>
        </is>
      </c>
      <c r="F490" s="3">
        <v>41430</v>
      </c>
      <c r="H490" t="inlineStr">
        <is>
          <t>SR0335</t>
        </is>
      </c>
      <c r="N490" t="inlineStr">
        <is>
          <t>Janssen Inc.</t>
        </is>
      </c>
      <c r="Q490" t="inlineStr">
        <is>
          <t>Initial</t>
        </is>
      </c>
    </row>
    <row r="491">
      <c r="A491" s="2">
        <f>HYPERLINK("https://www.cadth.ca/canagliflozin-invokana-type-2-diabetes-mellitus", "Invokana")</f>
        <v>0</v>
      </c>
      <c r="B491" t="inlineStr">
        <is>
          <t>Canagliflozin</t>
        </is>
      </c>
      <c r="C491" t="inlineStr">
        <is>
          <t>Diabetes Mellitus, Type 2</t>
        </is>
      </c>
      <c r="D491" t="inlineStr">
        <is>
          <t>List with criteria/condition</t>
        </is>
      </c>
      <c r="E491" t="inlineStr">
        <is>
          <t>Complete</t>
        </is>
      </c>
      <c r="F491" s="3">
        <v>41694</v>
      </c>
      <c r="G491" s="3">
        <v>42019</v>
      </c>
      <c r="H491" t="inlineStr">
        <is>
          <t>SR0370-000</t>
        </is>
      </c>
      <c r="N491" t="inlineStr">
        <is>
          <t>Janssen Inc.</t>
        </is>
      </c>
      <c r="Q491" t="inlineStr">
        <is>
          <t>Pre-NOC</t>
        </is>
      </c>
    </row>
    <row r="492">
      <c r="A492" s="2">
        <f>HYPERLINK("https://www.cadth.ca/gefitinib-5", "Iressa")</f>
        <v>0</v>
      </c>
      <c r="B492" t="inlineStr">
        <is>
          <t>Gefitinib</t>
        </is>
      </c>
      <c r="C492" t="inlineStr">
        <is>
          <t>Cancer, Lung , non-small cell</t>
        </is>
      </c>
      <c r="D492" t="inlineStr">
        <is>
          <t>Do not list</t>
        </is>
      </c>
      <c r="E492" t="inlineStr">
        <is>
          <t>Complete</t>
        </is>
      </c>
      <c r="F492" s="3">
        <v>37977</v>
      </c>
      <c r="G492" s="3">
        <v>38161</v>
      </c>
      <c r="H492" t="inlineStr">
        <is>
          <t>S0003</t>
        </is>
      </c>
      <c r="N492" t="inlineStr">
        <is>
          <t>AstraZeneca</t>
        </is>
      </c>
      <c r="Q492" t="inlineStr">
        <is>
          <t>Initial</t>
        </is>
      </c>
    </row>
    <row r="493">
      <c r="A493" s="2">
        <f>HYPERLINK("https://www.cadth.ca/raltegravir-13", "Isentress")</f>
        <v>0</v>
      </c>
      <c r="B493" t="inlineStr">
        <is>
          <t>Raltegravir</t>
        </is>
      </c>
      <c r="C493" t="inlineStr">
        <is>
          <t>HIV</t>
        </is>
      </c>
      <c r="D493" t="inlineStr">
        <is>
          <t>List with clinical criteria and/or conditions</t>
        </is>
      </c>
      <c r="E493" t="inlineStr">
        <is>
          <t>Complete</t>
        </is>
      </c>
      <c r="F493" s="3">
        <v>39415</v>
      </c>
      <c r="G493" s="3">
        <v>39582</v>
      </c>
      <c r="H493" t="inlineStr">
        <is>
          <t>S0115</t>
        </is>
      </c>
      <c r="N493" t="inlineStr">
        <is>
          <t>Merck Frosst Canada Ltd.</t>
        </is>
      </c>
      <c r="Q493" t="inlineStr">
        <is>
          <t>Initial</t>
        </is>
      </c>
    </row>
    <row r="494">
      <c r="A494" s="2">
        <f>HYPERLINK("https://www.cadth.ca/raltegravir-14", "Isentress")</f>
        <v>0</v>
      </c>
      <c r="B494" t="inlineStr">
        <is>
          <t>Raltegravir</t>
        </is>
      </c>
      <c r="C494" t="inlineStr">
        <is>
          <t>HIV (treatment naïve)</t>
        </is>
      </c>
      <c r="D494" t="inlineStr">
        <is>
          <t>Do not list</t>
        </is>
      </c>
      <c r="E494" t="inlineStr">
        <is>
          <t>Complete</t>
        </is>
      </c>
      <c r="F494" s="3">
        <v>40151</v>
      </c>
      <c r="G494" s="3">
        <v>40352</v>
      </c>
      <c r="H494" t="inlineStr">
        <is>
          <t>S0191</t>
        </is>
      </c>
      <c r="N494" t="inlineStr">
        <is>
          <t>Merck Frosst Canada Ltd.</t>
        </is>
      </c>
      <c r="Q494" t="inlineStr">
        <is>
          <t>New Indication</t>
        </is>
      </c>
    </row>
    <row r="495">
      <c r="A495" s="2">
        <f>HYPERLINK("https://www.cadth.ca/travoprost-ophthalmic-solution", "Izba")</f>
        <v>0</v>
      </c>
      <c r="B495" t="inlineStr">
        <is>
          <t>travoprost ophthalmic solution</t>
        </is>
      </c>
      <c r="C495" t="inlineStr">
        <is>
          <t>open-angle glaucoma</t>
        </is>
      </c>
      <c r="D495" t="inlineStr">
        <is>
          <t>Reimburse with clinical criteria and/or conditions</t>
        </is>
      </c>
      <c r="E495" t="inlineStr">
        <is>
          <t>Complete</t>
        </is>
      </c>
      <c r="F495" s="3">
        <v>42795</v>
      </c>
      <c r="G495" s="3">
        <v>43033</v>
      </c>
      <c r="H495" t="inlineStr">
        <is>
          <t>SR0516-000</t>
        </is>
      </c>
      <c r="N495" t="inlineStr">
        <is>
          <t>Novartis Pharmaceuticals Canada Inc.</t>
        </is>
      </c>
      <c r="Q495" t="inlineStr">
        <is>
          <t>Initial</t>
        </is>
      </c>
    </row>
    <row r="496">
      <c r="A496" s="2">
        <f>HYPERLINK("https://www.cadth.ca/sitagliptin-phosphate-monohydrate-metformin-hydrochloride-6", "Janumet")</f>
        <v>0</v>
      </c>
      <c r="B496" t="inlineStr">
        <is>
          <t>Sitagliptin phosphate monohydrate / metformin hydrochloride</t>
        </is>
      </c>
      <c r="C496" t="inlineStr">
        <is>
          <t>Diabetes mellitus (Type 2)</t>
        </is>
      </c>
      <c r="D496" t="inlineStr">
        <is>
          <t>List with clinical criteria and/or conditions</t>
        </is>
      </c>
      <c r="E496" t="inlineStr">
        <is>
          <t>Complete</t>
        </is>
      </c>
      <c r="F496" s="3">
        <v>40121</v>
      </c>
      <c r="G496" s="3">
        <v>40352</v>
      </c>
      <c r="H496" t="inlineStr">
        <is>
          <t>S0182</t>
        </is>
      </c>
      <c r="N496" t="inlineStr">
        <is>
          <t>Merck Frosst Canada Ltd.</t>
        </is>
      </c>
      <c r="Q496" t="inlineStr">
        <is>
          <t>Initial</t>
        </is>
      </c>
    </row>
    <row r="497">
      <c r="A497" s="2">
        <f>HYPERLINK("https://www.cadth.ca/sitagliptin-phosphate-13", "Januvia")</f>
        <v>0</v>
      </c>
      <c r="B497" t="inlineStr">
        <is>
          <t>Sitagliptin phosphate</t>
        </is>
      </c>
      <c r="C497" t="inlineStr">
        <is>
          <t>Diabetes mellitus (Type 2)</t>
        </is>
      </c>
      <c r="D497" t="inlineStr">
        <is>
          <t>Do not list</t>
        </is>
      </c>
      <c r="E497" t="inlineStr">
        <is>
          <t>Complete</t>
        </is>
      </c>
      <c r="F497" s="3">
        <v>39436</v>
      </c>
      <c r="G497" s="3">
        <v>39617</v>
      </c>
      <c r="H497" t="inlineStr">
        <is>
          <t>S0122</t>
        </is>
      </c>
      <c r="N497" t="inlineStr">
        <is>
          <t>Merck Frosst Canada Ltd.</t>
        </is>
      </c>
      <c r="Q497" t="inlineStr">
        <is>
          <t>Initial</t>
        </is>
      </c>
    </row>
    <row r="498">
      <c r="A498" s="2">
        <f>HYPERLINK("https://www.cadth.ca/sitagliptin-phosphate-14", "Januvia")</f>
        <v>0</v>
      </c>
      <c r="B498" t="inlineStr">
        <is>
          <t>Sitagliptin phosphate</t>
        </is>
      </c>
      <c r="C498" t="inlineStr">
        <is>
          <t>Diabetes mellitus (Type 2)</t>
        </is>
      </c>
      <c r="D498" t="inlineStr">
        <is>
          <t>List with clinical criteria and/or conditions</t>
        </is>
      </c>
      <c r="E498" t="inlineStr">
        <is>
          <t>Complete</t>
        </is>
      </c>
      <c r="F498" s="3">
        <v>40115</v>
      </c>
      <c r="G498" s="3">
        <v>40352</v>
      </c>
      <c r="H498" t="inlineStr">
        <is>
          <t>S0181</t>
        </is>
      </c>
      <c r="N498" t="inlineStr">
        <is>
          <t>Merck Frosst Canada Ltd.</t>
        </is>
      </c>
      <c r="Q498" t="inlineStr">
        <is>
          <t>Resubmission</t>
        </is>
      </c>
    </row>
    <row r="499">
      <c r="A499" s="2">
        <f>HYPERLINK("https://www.cadth.ca/empagliflozin-0", "Jardiance")</f>
        <v>0</v>
      </c>
      <c r="B499" t="inlineStr">
        <is>
          <t>Empagliflozin</t>
        </is>
      </c>
      <c r="C499" t="inlineStr">
        <is>
          <t>Diabetes mellitus, type 2 with high cardiovascular risk</t>
        </is>
      </c>
      <c r="D499" t="inlineStr">
        <is>
          <t>Reimburse with clinical criteria and/or conditions</t>
        </is>
      </c>
      <c r="E499" t="inlineStr">
        <is>
          <t>Complete</t>
        </is>
      </c>
      <c r="F499" s="3">
        <v>42487</v>
      </c>
      <c r="G499" s="3">
        <v>42669</v>
      </c>
      <c r="H499" t="inlineStr">
        <is>
          <t>SR0488-000</t>
        </is>
      </c>
      <c r="N499" t="inlineStr">
        <is>
          <t>Boehringer Ingelheim (Canada) Ltd.</t>
        </is>
      </c>
    </row>
    <row r="500">
      <c r="A500" s="2">
        <f>HYPERLINK("https://www.cadth.ca/empagliflozin", "Jardiance")</f>
        <v>0</v>
      </c>
      <c r="B500" t="inlineStr">
        <is>
          <t>Empagliflozin</t>
        </is>
      </c>
      <c r="C500" t="inlineStr">
        <is>
          <t>Diabetes mellitus (Type 2)</t>
        </is>
      </c>
      <c r="D500" t="inlineStr">
        <is>
          <t>List with clinical criteria and/or conditions</t>
        </is>
      </c>
      <c r="E500" t="inlineStr">
        <is>
          <t>Complete</t>
        </is>
      </c>
      <c r="F500" s="3">
        <v>42117</v>
      </c>
      <c r="G500" s="3">
        <v>42292</v>
      </c>
      <c r="H500" t="inlineStr">
        <is>
          <t>SR0427-000</t>
        </is>
      </c>
      <c r="N500" t="inlineStr">
        <is>
          <t>Boehringer Ingelheim (Canada) Ltd.</t>
        </is>
      </c>
      <c r="Q500" t="inlineStr">
        <is>
          <t>Pre-NOC</t>
        </is>
      </c>
    </row>
    <row r="501">
      <c r="A501" s="2">
        <f>HYPERLINK("https://www.cadth.ca/linagliptin-metformin-6", "Jentadueto")</f>
        <v>0</v>
      </c>
      <c r="B501" t="inlineStr">
        <is>
          <t>Linagliptin-metformin</t>
        </is>
      </c>
      <c r="C501" t="inlineStr">
        <is>
          <t>Diabetes mellitus (Type 2)</t>
        </is>
      </c>
      <c r="D501" t="inlineStr">
        <is>
          <t>List with criteria/condition</t>
        </is>
      </c>
      <c r="E501" t="inlineStr">
        <is>
          <t>Complete</t>
        </is>
      </c>
      <c r="F501" s="3">
        <v>41341</v>
      </c>
      <c r="G501" s="3">
        <v>41564</v>
      </c>
      <c r="H501" t="inlineStr">
        <is>
          <t>SR0306</t>
        </is>
      </c>
      <c r="N501" t="inlineStr">
        <is>
          <t>Boehringer Ingelheim (Canada) Ltd.</t>
        </is>
      </c>
      <c r="Q501" t="inlineStr">
        <is>
          <t>Initial</t>
        </is>
      </c>
    </row>
    <row r="502">
      <c r="A502" s="2">
        <f>HYPERLINK("https://www.cadth.ca/ocriplasmin-6", "Jetrea")</f>
        <v>0</v>
      </c>
      <c r="B502" t="inlineStr">
        <is>
          <t>Ocriplasmin</t>
        </is>
      </c>
      <c r="C502" t="inlineStr">
        <is>
          <t>Vitreomacular adhesion</t>
        </is>
      </c>
      <c r="D502" t="inlineStr">
        <is>
          <t>List with criteria/condition</t>
        </is>
      </c>
      <c r="E502" t="inlineStr">
        <is>
          <t>Complete</t>
        </is>
      </c>
      <c r="F502" s="3">
        <v>41431</v>
      </c>
      <c r="G502" s="3">
        <v>41628</v>
      </c>
      <c r="H502" t="inlineStr">
        <is>
          <t>SR0337</t>
        </is>
      </c>
      <c r="N502" t="inlineStr">
        <is>
          <t>Alcon Canada Inc.</t>
        </is>
      </c>
      <c r="Q502" t="inlineStr">
        <is>
          <t>Pre-NOC</t>
        </is>
      </c>
    </row>
    <row r="503">
      <c r="A503" s="2">
        <f>HYPERLINK("https://www.cadth.ca/tolvaptan-7", "Jinarc")</f>
        <v>0</v>
      </c>
      <c r="B503" t="inlineStr">
        <is>
          <t>Tolvaptan</t>
        </is>
      </c>
      <c r="C503" t="inlineStr">
        <is>
          <t>Autosomal dominant polycystic kidney disease (ADPKD)</t>
        </is>
      </c>
      <c r="D503" t="inlineStr">
        <is>
          <t>Do not list</t>
        </is>
      </c>
      <c r="E503" t="inlineStr">
        <is>
          <t>Complete</t>
        </is>
      </c>
      <c r="F503" s="3">
        <v>42153</v>
      </c>
      <c r="G503" s="3">
        <v>42424</v>
      </c>
      <c r="H503" t="inlineStr">
        <is>
          <t>SR0435-000</t>
        </is>
      </c>
      <c r="N503" t="inlineStr">
        <is>
          <t>Otsuka Canada Pharmaceutical Inc.</t>
        </is>
      </c>
      <c r="Q503" t="inlineStr">
        <is>
          <t>New Indication</t>
        </is>
      </c>
    </row>
    <row r="504">
      <c r="A504" s="2">
        <f>HYPERLINK("https://www.cadth.ca/budesonide-0", "Jorveza")</f>
        <v>0</v>
      </c>
      <c r="B504" t="inlineStr">
        <is>
          <t>budesonide</t>
        </is>
      </c>
      <c r="C504" t="inlineStr">
        <is>
          <t>Indicated for the induction of clinico-pathological remission in adults with eosinophilic esophagitis (EoE)</t>
        </is>
      </c>
      <c r="D504" t="inlineStr">
        <is>
          <t>Reimburse with clinical criteria and/or conditions</t>
        </is>
      </c>
      <c r="E504" t="inlineStr">
        <is>
          <t>Active</t>
        </is>
      </c>
      <c r="F504" s="3">
        <v>43777</v>
      </c>
      <c r="G504" s="3">
        <v>44132</v>
      </c>
      <c r="H504" t="inlineStr">
        <is>
          <t>SR0634-000</t>
        </is>
      </c>
      <c r="N504" t="inlineStr">
        <is>
          <t>AVIR Pharma Inc.</t>
        </is>
      </c>
      <c r="Q504" t="inlineStr">
        <is>
          <t>Initial</t>
        </is>
      </c>
    </row>
    <row r="505">
      <c r="A505" s="2">
        <f>HYPERLINK("https://www.cadth.ca/budesonide-1", "Jorveza")</f>
        <v>0</v>
      </c>
      <c r="B505" t="inlineStr">
        <is>
          <t>budesonide</t>
        </is>
      </c>
      <c r="C505" t="inlineStr">
        <is>
          <t>Indicated for the induction and maintenance of clinico-pathological remission in adults with eosinophilic esophagitis (EoE).</t>
        </is>
      </c>
      <c r="E505" t="inlineStr">
        <is>
          <t>Received</t>
        </is>
      </c>
      <c r="F505" s="3">
        <v>44140</v>
      </c>
      <c r="H505" t="inlineStr">
        <is>
          <t>SR0666-000</t>
        </is>
      </c>
      <c r="N505" t="inlineStr">
        <is>
          <t>AVIR Pharma Inc</t>
        </is>
      </c>
      <c r="Q505" t="inlineStr">
        <is>
          <t>Initial</t>
        </is>
      </c>
    </row>
    <row r="506">
      <c r="A506" s="2">
        <f>HYPERLINK("https://www.cadth.ca/efinaconazole", "Jublia")</f>
        <v>0</v>
      </c>
      <c r="B506" t="inlineStr">
        <is>
          <t>efinaconazole</t>
        </is>
      </c>
      <c r="C506" t="inlineStr">
        <is>
          <t>Onychomycosis</t>
        </is>
      </c>
      <c r="D506" t="inlineStr">
        <is>
          <t>Do not reimburse</t>
        </is>
      </c>
      <c r="E506" t="inlineStr">
        <is>
          <t>Complete</t>
        </is>
      </c>
      <c r="F506" s="3">
        <v>43314</v>
      </c>
      <c r="G506" s="3">
        <v>43608</v>
      </c>
      <c r="H506" t="inlineStr">
        <is>
          <t>SR0577-000</t>
        </is>
      </c>
      <c r="N506" t="inlineStr">
        <is>
          <t>Bausch Health, Canada Inc.</t>
        </is>
      </c>
      <c r="Q506" t="inlineStr">
        <is>
          <t>Initial</t>
        </is>
      </c>
    </row>
    <row r="507">
      <c r="A507" s="2">
        <f>HYPERLINK("https://www.cadth.ca/dolutegravir-rilpivirine", "Juluca")</f>
        <v>0</v>
      </c>
      <c r="B507" t="inlineStr">
        <is>
          <t>Dolutegravir rilpivirine</t>
        </is>
      </c>
      <c r="C507" t="inlineStr">
        <is>
          <t>HIV infection</t>
        </is>
      </c>
      <c r="D507" t="inlineStr">
        <is>
          <t>Reimburse with clinical criteria and/or conditions</t>
        </is>
      </c>
      <c r="E507" t="inlineStr">
        <is>
          <t>Complete</t>
        </is>
      </c>
      <c r="F507" s="3">
        <v>43090</v>
      </c>
      <c r="G507" s="3">
        <v>43271</v>
      </c>
      <c r="H507" t="inlineStr">
        <is>
          <t>SR0551-000</t>
        </is>
      </c>
      <c r="N507" t="inlineStr">
        <is>
          <t>ViiV Healthcare ULC</t>
        </is>
      </c>
      <c r="Q507" t="inlineStr">
        <is>
          <t>New Combination</t>
        </is>
      </c>
    </row>
    <row r="508">
      <c r="A508" s="2">
        <f>HYPERLINK("https://www.cadth.ca/hydromorphone-hydrochloride-6", "Jurnista")</f>
        <v>0</v>
      </c>
      <c r="B508" t="inlineStr">
        <is>
          <t>Hydromorphone hydrochloride</t>
        </is>
      </c>
      <c r="C508" t="inlineStr">
        <is>
          <t>Pain, Chronic (moderate to severe)</t>
        </is>
      </c>
      <c r="D508" t="inlineStr">
        <is>
          <t>Do not list</t>
        </is>
      </c>
      <c r="E508" t="inlineStr">
        <is>
          <t>Complete</t>
        </is>
      </c>
      <c r="F508" s="3">
        <v>40151</v>
      </c>
      <c r="G508" s="3">
        <v>40317</v>
      </c>
      <c r="H508" t="inlineStr">
        <is>
          <t>S0190</t>
        </is>
      </c>
      <c r="N508" t="inlineStr">
        <is>
          <t>Janssen-Ortho Inc.</t>
        </is>
      </c>
      <c r="Q508" t="inlineStr">
        <is>
          <t>Initial</t>
        </is>
      </c>
    </row>
    <row r="509">
      <c r="A509" s="2">
        <f>HYPERLINK("https://www.cadth.ca/lomitapide-4", "Juxtapid")</f>
        <v>0</v>
      </c>
      <c r="B509" t="inlineStr">
        <is>
          <t>Lomitapide</t>
        </is>
      </c>
      <c r="C509" t="inlineStr">
        <is>
          <t>Hypercholesterolemia, Homozygous Familial</t>
        </is>
      </c>
      <c r="D509" t="inlineStr">
        <is>
          <t>Do not list</t>
        </is>
      </c>
      <c r="E509" t="inlineStr">
        <is>
          <t>Complete</t>
        </is>
      </c>
      <c r="F509" s="3">
        <v>41828</v>
      </c>
      <c r="G509" s="3">
        <v>42111</v>
      </c>
      <c r="H509" t="inlineStr">
        <is>
          <t>SR0386-000</t>
        </is>
      </c>
      <c r="N509" t="inlineStr">
        <is>
          <t>Aegerion Pharmaceuticals (Canada) Ltd.</t>
        </is>
      </c>
      <c r="Q509" t="inlineStr">
        <is>
          <t>Initial</t>
        </is>
      </c>
    </row>
    <row r="510">
      <c r="A510" s="2">
        <f>HYPERLINK("https://www.cadth.ca/ivacaftor-12", "Kalydeco")</f>
        <v>0</v>
      </c>
      <c r="B510" t="inlineStr">
        <is>
          <t>Ivacaftor</t>
        </is>
      </c>
      <c r="C510" t="inlineStr">
        <is>
          <t>Cystic Fibrosis (CFTR gating mutations)</t>
        </is>
      </c>
      <c r="D510" t="inlineStr">
        <is>
          <t>List with criteria/condition</t>
        </is>
      </c>
      <c r="E510" t="inlineStr">
        <is>
          <t>Complete</t>
        </is>
      </c>
      <c r="F510" s="3">
        <v>41760</v>
      </c>
      <c r="G510" s="3">
        <v>41992</v>
      </c>
      <c r="H510" t="inlineStr">
        <is>
          <t>SR0379-000</t>
        </is>
      </c>
      <c r="N510" t="inlineStr">
        <is>
          <t>Vertex Pharmaceuticals Canada</t>
        </is>
      </c>
      <c r="Q510" t="inlineStr">
        <is>
          <t>Pre-NOC</t>
        </is>
      </c>
    </row>
    <row r="511">
      <c r="A511" s="2">
        <f>HYPERLINK("https://www.cadth.ca/ivacaftor-13", "Kalydeco")</f>
        <v>0</v>
      </c>
      <c r="B511" t="inlineStr">
        <is>
          <t>Ivacaftor</t>
        </is>
      </c>
      <c r="C511" t="inlineStr">
        <is>
          <t>Cystic Fibrosis, R117H CFTR gating mutation</t>
        </is>
      </c>
      <c r="D511" t="inlineStr">
        <is>
          <t>List with criteria/condition</t>
        </is>
      </c>
      <c r="E511" t="inlineStr">
        <is>
          <t>Complete</t>
        </is>
      </c>
      <c r="F511" s="3">
        <v>42132</v>
      </c>
      <c r="G511" s="3">
        <v>42327</v>
      </c>
      <c r="H511" t="inlineStr">
        <is>
          <t>SR0430-000</t>
        </is>
      </c>
      <c r="N511" t="inlineStr">
        <is>
          <t>Vertex Pharmaceuticals (Canada) Incorporated</t>
        </is>
      </c>
      <c r="Q511" t="inlineStr">
        <is>
          <t>New Indication</t>
        </is>
      </c>
    </row>
    <row r="512">
      <c r="A512" s="2">
        <f>HYPERLINK("https://www.cadth.ca/ivacaftor-11", "Kalydeco")</f>
        <v>0</v>
      </c>
      <c r="B512" t="inlineStr">
        <is>
          <t>Ivacaftor</t>
        </is>
      </c>
      <c r="C512" t="inlineStr">
        <is>
          <t>Cystic Fibrosis patients (G551D mutation)</t>
        </is>
      </c>
      <c r="D512" t="inlineStr">
        <is>
          <t>List with criteria/condition</t>
        </is>
      </c>
      <c r="E512" t="inlineStr">
        <is>
          <t>Complete</t>
        </is>
      </c>
      <c r="F512" s="3">
        <v>41179</v>
      </c>
      <c r="G512" s="3">
        <v>41355</v>
      </c>
      <c r="H512" t="inlineStr">
        <is>
          <t>SR0291</t>
        </is>
      </c>
      <c r="N512" t="inlineStr">
        <is>
          <t>Vertex Pharmaceuticals  Inc.</t>
        </is>
      </c>
      <c r="Q512" t="inlineStr">
        <is>
          <t>Pre-NOC</t>
        </is>
      </c>
    </row>
    <row r="513">
      <c r="A513" s="2">
        <f>HYPERLINK("https://www.cadth.ca/sebelipase-alfa", "Kanuma")</f>
        <v>0</v>
      </c>
      <c r="B513" t="inlineStr">
        <is>
          <t>sebelipase alfa</t>
        </is>
      </c>
      <c r="C513" t="inlineStr">
        <is>
          <t>Lysosomal acid lipase deficiency</t>
        </is>
      </c>
      <c r="D513" t="inlineStr">
        <is>
          <t>Reimburse with clinical criteria and/or conditions</t>
        </is>
      </c>
      <c r="E513" t="inlineStr">
        <is>
          <t>Complete</t>
        </is>
      </c>
      <c r="F513" s="3">
        <v>43041</v>
      </c>
      <c r="G513" s="3">
        <v>43369</v>
      </c>
      <c r="H513" t="inlineStr">
        <is>
          <t>SR0544-000</t>
        </is>
      </c>
      <c r="N513" t="inlineStr">
        <is>
          <t>Alexion Pharmaceuticals</t>
        </is>
      </c>
      <c r="Q513" t="inlineStr">
        <is>
          <t>Initial</t>
        </is>
      </c>
    </row>
    <row r="514">
      <c r="A514" s="2">
        <f>HYPERLINK("https://www.cadth.ca/alogliptin-plus-metformin-kazano-type-2-diabetes-mellitus", "Kazano")</f>
        <v>0</v>
      </c>
      <c r="B514" t="inlineStr">
        <is>
          <t>Alogliptin plus metformin</t>
        </is>
      </c>
      <c r="C514" t="inlineStr">
        <is>
          <t>Diabetes mellitus (Type 2)</t>
        </is>
      </c>
      <c r="D514" t="inlineStr">
        <is>
          <t>Do not list</t>
        </is>
      </c>
      <c r="E514" t="inlineStr">
        <is>
          <t>Complete</t>
        </is>
      </c>
      <c r="F514" s="3">
        <v>41669</v>
      </c>
      <c r="G514" s="3">
        <v>42019</v>
      </c>
      <c r="H514" t="inlineStr">
        <is>
          <t>SR0367-000</t>
        </is>
      </c>
      <c r="N514" t="inlineStr">
        <is>
          <t>Takeda Canada Inc.</t>
        </is>
      </c>
      <c r="Q514" t="inlineStr">
        <is>
          <t>Initial</t>
        </is>
      </c>
    </row>
    <row r="515">
      <c r="A515" s="2">
        <f>HYPERLINK("https://www.cadth.ca/sarilumab", "Kevzara")</f>
        <v>0</v>
      </c>
      <c r="B515" t="inlineStr">
        <is>
          <t>sarilumab</t>
        </is>
      </c>
      <c r="C515" t="inlineStr">
        <is>
          <t>Arthritis, Rheumatoid</t>
        </is>
      </c>
      <c r="D515" t="inlineStr">
        <is>
          <t>Reimburse with clinical criteria and/or conditions</t>
        </is>
      </c>
      <c r="E515" t="inlineStr">
        <is>
          <t>Complete</t>
        </is>
      </c>
      <c r="F515" s="3">
        <v>42655</v>
      </c>
      <c r="G515" s="3">
        <v>42843</v>
      </c>
      <c r="H515" t="inlineStr">
        <is>
          <t>SR0503-000</t>
        </is>
      </c>
      <c r="N515" t="inlineStr">
        <is>
          <t>Sanofi Genzyme</t>
        </is>
      </c>
      <c r="Q515" t="inlineStr">
        <is>
          <t>Initial</t>
        </is>
      </c>
    </row>
    <row r="516">
      <c r="A516" s="2">
        <f>HYPERLINK("https://www.cadth.ca/pembrolizumab", "Keytruda")</f>
        <v>0</v>
      </c>
      <c r="B516" t="inlineStr">
        <is>
          <t>pembrolizumab</t>
        </is>
      </c>
      <c r="C516" t="inlineStr">
        <is>
          <t>​For the first line treatment of adult patients with unresectable or metastatic microsatellite instability-high (MSI-H) or mismatch repair deficient (dMMR) colorectal cancer (CRC)</t>
        </is>
      </c>
      <c r="E516" t="inlineStr">
        <is>
          <t>Pending</t>
        </is>
      </c>
      <c r="H516" t="inlineStr">
        <is>
          <t>PC0235-000</t>
        </is>
      </c>
      <c r="N516" t="inlineStr">
        <is>
          <t>Merck Canada Inc.</t>
        </is>
      </c>
      <c r="Q516" t="inlineStr">
        <is>
          <t>Initial</t>
        </is>
      </c>
    </row>
    <row r="517">
      <c r="A517" s="2">
        <f>HYPERLINK("https://www.cadth.ca/abacavirlamivudine-4", "Kivexa")</f>
        <v>0</v>
      </c>
      <c r="B517" t="inlineStr">
        <is>
          <t>Abacavir/lamivudine</t>
        </is>
      </c>
      <c r="C517" t="inlineStr">
        <is>
          <t>HIV infection</t>
        </is>
      </c>
      <c r="D517" t="inlineStr">
        <is>
          <t>List in a similar manner to other drugs in class</t>
        </is>
      </c>
      <c r="E517" t="inlineStr">
        <is>
          <t>Complete</t>
        </is>
      </c>
      <c r="F517" s="3">
        <v>38559</v>
      </c>
      <c r="G517" s="3">
        <v>38693</v>
      </c>
      <c r="H517" t="inlineStr">
        <is>
          <t>S0038</t>
        </is>
      </c>
      <c r="N517" t="inlineStr">
        <is>
          <t>GlaxoSmithKline</t>
        </is>
      </c>
      <c r="Q517" t="inlineStr">
        <is>
          <t>Initial</t>
        </is>
      </c>
    </row>
    <row r="518">
      <c r="A518" s="2">
        <f>HYPERLINK("https://www.cadth.ca/saxagliptin-metformin-10", "Komboglyze")</f>
        <v>0</v>
      </c>
      <c r="B518" t="inlineStr">
        <is>
          <t>Saxagliptin + metformin</t>
        </is>
      </c>
      <c r="C518" t="inlineStr">
        <is>
          <t>Diabetes Mellitus, Type 2</t>
        </is>
      </c>
      <c r="E518" t="inlineStr">
        <is>
          <t>Withdrawn</t>
        </is>
      </c>
      <c r="F518" s="3">
        <v>41431</v>
      </c>
      <c r="H518" t="inlineStr">
        <is>
          <t>SR0336</t>
        </is>
      </c>
      <c r="N518" t="inlineStr">
        <is>
          <t>Bristol-Myers Squibb / AstraZeneca Canada Inc.</t>
        </is>
      </c>
      <c r="Q518" t="inlineStr">
        <is>
          <t>Initial</t>
        </is>
      </c>
    </row>
    <row r="519">
      <c r="A519" s="2">
        <f>HYPERLINK("https://www.cadth.ca/saxagliptins-metformin-komboglyze-for-type-2-diabetes-mellitus-SR0348", "Komboglyze")</f>
        <v>0</v>
      </c>
      <c r="B519" t="inlineStr">
        <is>
          <t>Saxagliptin + metformin</t>
        </is>
      </c>
      <c r="C519" t="inlineStr">
        <is>
          <t>Diabetes Mellitus, Type 2</t>
        </is>
      </c>
      <c r="D519" t="inlineStr">
        <is>
          <t>List with criteria/condition</t>
        </is>
      </c>
      <c r="E519" t="inlineStr">
        <is>
          <t>Complete</t>
        </is>
      </c>
      <c r="F519" s="3">
        <v>41509</v>
      </c>
      <c r="G519" s="3">
        <v>41810</v>
      </c>
      <c r="H519" t="inlineStr">
        <is>
          <t>SR0348</t>
        </is>
      </c>
      <c r="N519" t="inlineStr">
        <is>
          <t>AstraZeneca Canada Inc.</t>
        </is>
      </c>
      <c r="Q519" t="inlineStr">
        <is>
          <t>Initial</t>
        </is>
      </c>
    </row>
    <row r="520">
      <c r="A520" s="2">
        <f>HYPERLINK("https://www.cadth.ca/sapropterin-dihydrochloride-13", "Kuvan")</f>
        <v>0</v>
      </c>
      <c r="B520" t="inlineStr">
        <is>
          <t>Sapropterin dihydrochloride</t>
        </is>
      </c>
      <c r="C520" t="inlineStr">
        <is>
          <t>Phenylketonuria (PKU)</t>
        </is>
      </c>
      <c r="D520" t="inlineStr">
        <is>
          <t>Reimburse with clinical criteria and/or conditions</t>
        </is>
      </c>
      <c r="E520" t="inlineStr">
        <is>
          <t>Complete</t>
        </is>
      </c>
      <c r="F520" s="3">
        <v>42401</v>
      </c>
      <c r="G520" s="3">
        <v>42669</v>
      </c>
      <c r="H520" t="inlineStr">
        <is>
          <t>SR0472-000</t>
        </is>
      </c>
      <c r="N520" t="inlineStr">
        <is>
          <t>BioMarin Pharmaceutical (Canada) Inc.</t>
        </is>
      </c>
      <c r="Q520" t="inlineStr">
        <is>
          <t>Resubmission</t>
        </is>
      </c>
    </row>
    <row r="521">
      <c r="A521" s="2">
        <f>HYPERLINK("https://www.cadth.ca/sapropterin-dihydrochloride-11", "Kuvan")</f>
        <v>0</v>
      </c>
      <c r="B521" t="inlineStr">
        <is>
          <t>Sapropterin dihydrochloride</t>
        </is>
      </c>
      <c r="C521" t="inlineStr">
        <is>
          <t>Phenylketonuria (PKU).</t>
        </is>
      </c>
      <c r="D521" t="inlineStr">
        <is>
          <t>Do not list</t>
        </is>
      </c>
      <c r="E521" t="inlineStr">
        <is>
          <t>Complete</t>
        </is>
      </c>
      <c r="F521" s="3">
        <v>40367</v>
      </c>
      <c r="G521" s="3">
        <v>40569</v>
      </c>
      <c r="H521" t="inlineStr">
        <is>
          <t>S0205</t>
        </is>
      </c>
      <c r="N521" t="inlineStr">
        <is>
          <t>BioMarin Pharmaceutical Canada Inc.</t>
        </is>
      </c>
      <c r="Q521" t="inlineStr">
        <is>
          <t>Initial</t>
        </is>
      </c>
    </row>
    <row r="522">
      <c r="A522" s="2">
        <f>HYPERLINK("https://www.cadth.ca/sapropterin-dihydrochloride-12", "Kuvan")</f>
        <v>0</v>
      </c>
      <c r="B522" t="inlineStr">
        <is>
          <t>Sapropterin dihydrochloride</t>
        </is>
      </c>
      <c r="C522" t="inlineStr">
        <is>
          <t>Phenylketonuria (PKU).</t>
        </is>
      </c>
      <c r="E522" t="inlineStr">
        <is>
          <t>Complete</t>
        </is>
      </c>
      <c r="F522" s="3">
        <v>40695</v>
      </c>
      <c r="H522" t="inlineStr">
        <is>
          <t>S0236</t>
        </is>
      </c>
      <c r="N522" t="inlineStr">
        <is>
          <t>BioMarin Pharmaceutical Canada Inc.</t>
        </is>
      </c>
      <c r="Q522" t="inlineStr">
        <is>
          <t>Request For Advice</t>
        </is>
      </c>
    </row>
    <row r="523">
      <c r="A523" s="2">
        <f>HYPERLINK("https://www.cadth.ca/apomorphine-hydrochloride-0", "Kynmobi")</f>
        <v>0</v>
      </c>
      <c r="B523" t="inlineStr">
        <is>
          <t>apomorphine hydrochloride</t>
        </is>
      </c>
      <c r="C523" t="inlineStr">
        <is>
          <t>​Indicated for the acute, intermittent treatment of “OFF” episodes in patients with Parkinson's disease.</t>
        </is>
      </c>
      <c r="E523" t="inlineStr">
        <is>
          <t>Active</t>
        </is>
      </c>
      <c r="F523" s="3">
        <v>44007</v>
      </c>
      <c r="H523" t="inlineStr">
        <is>
          <t>SR0650-000</t>
        </is>
      </c>
      <c r="N523" t="inlineStr">
        <is>
          <t>Sunovion Pharmaceuticals Canada Inc.</t>
        </is>
      </c>
      <c r="Q523" t="inlineStr">
        <is>
          <t>Initial</t>
        </is>
      </c>
    </row>
    <row r="524">
      <c r="A524" s="2">
        <f>HYPERLINK("https://www.cadth.ca/apomorphine-hydrochloride", "Kynmobi")</f>
        <v>0</v>
      </c>
      <c r="B524" t="inlineStr">
        <is>
          <t>apomorphine hydrochloride</t>
        </is>
      </c>
      <c r="C524" t="inlineStr">
        <is>
          <t>Parkinson’s Disease</t>
        </is>
      </c>
      <c r="E524" t="inlineStr">
        <is>
          <t>Withdrawn</t>
        </is>
      </c>
      <c r="F524" s="3">
        <v>43521</v>
      </c>
      <c r="H524" t="inlineStr">
        <is>
          <t>SR0604-000</t>
        </is>
      </c>
      <c r="N524" t="inlineStr">
        <is>
          <t>Sunovion Pharmaceuticals Canada Inc.</t>
        </is>
      </c>
      <c r="Q524" t="inlineStr">
        <is>
          <t>Initial</t>
        </is>
      </c>
    </row>
    <row r="525">
      <c r="A525" s="2">
        <f>HYPERLINK("https://www.cadth.ca/ivabradine", "Lancora")</f>
        <v>0</v>
      </c>
      <c r="B525" t="inlineStr">
        <is>
          <t>Ivabradine</t>
        </is>
      </c>
      <c r="C525" t="inlineStr">
        <is>
          <t>Heart failure, NYHA class II or III</t>
        </is>
      </c>
      <c r="D525" t="inlineStr">
        <is>
          <t>Reimburse with clinical criteria and/or conditions</t>
        </is>
      </c>
      <c r="E525" t="inlineStr">
        <is>
          <t>Complete</t>
        </is>
      </c>
      <c r="F525" s="3">
        <v>42682</v>
      </c>
      <c r="G525" s="3">
        <v>42879</v>
      </c>
      <c r="H525" t="inlineStr">
        <is>
          <t>SR0506-000</t>
        </is>
      </c>
      <c r="N525" t="inlineStr">
        <is>
          <t>Servier Canada Inc.</t>
        </is>
      </c>
      <c r="Q525" t="inlineStr">
        <is>
          <t>Initial</t>
        </is>
      </c>
    </row>
    <row r="526">
      <c r="A526" s="2">
        <f>HYPERLINK("https://www.cadth.ca/insulin-glargine-rdna-origin-18", "Lantus")</f>
        <v>0</v>
      </c>
      <c r="B526" t="inlineStr">
        <is>
          <t>Insulin glargine (rDNA origin)</t>
        </is>
      </c>
      <c r="C526" t="inlineStr">
        <is>
          <t>Diabetes mellitus, Type 1 &amp; 2</t>
        </is>
      </c>
      <c r="E526" t="inlineStr">
        <is>
          <t>Complete</t>
        </is>
      </c>
      <c r="F526" s="3">
        <v>39973</v>
      </c>
      <c r="H526" t="inlineStr">
        <is>
          <t>S0166</t>
        </is>
      </c>
      <c r="N526" t="inlineStr">
        <is>
          <t>Sanofi-Aventis Canada Inc.</t>
        </is>
      </c>
      <c r="Q526" t="inlineStr">
        <is>
          <t>Request For Advice</t>
        </is>
      </c>
    </row>
    <row r="527">
      <c r="A527" s="2">
        <f>HYPERLINK("https://www.cadth.ca/insulin-glargine-rdna-origin-15", "Lantus")</f>
        <v>0</v>
      </c>
      <c r="B527" t="inlineStr">
        <is>
          <t>Insulin glargine (rDNA origin)</t>
        </is>
      </c>
      <c r="C527" t="inlineStr">
        <is>
          <t>Diabetes mellitus, Type 1 &amp; 2</t>
        </is>
      </c>
      <c r="D527" t="inlineStr">
        <is>
          <t>Do not list</t>
        </is>
      </c>
      <c r="E527" t="inlineStr">
        <is>
          <t>Complete</t>
        </is>
      </c>
      <c r="F527" s="3">
        <v>38394</v>
      </c>
      <c r="G527" s="3">
        <v>38623</v>
      </c>
      <c r="H527" t="inlineStr">
        <is>
          <t>S0033</t>
        </is>
      </c>
      <c r="N527" t="inlineStr">
        <is>
          <t>Aventis Pharma Inc.</t>
        </is>
      </c>
      <c r="Q527" t="inlineStr">
        <is>
          <t>Initial</t>
        </is>
      </c>
    </row>
    <row r="528">
      <c r="A528" s="2">
        <f>HYPERLINK("https://www.cadth.ca/insulin-glargine-rdna-origin-17", "Lantus")</f>
        <v>0</v>
      </c>
      <c r="B528" t="inlineStr">
        <is>
          <t>Insulin glargine (rDNA origin)</t>
        </is>
      </c>
      <c r="C528" t="inlineStr">
        <is>
          <t>Diabetes mellitus, Type 1 &amp; 2</t>
        </is>
      </c>
      <c r="D528" t="inlineStr">
        <is>
          <t>Do not list</t>
        </is>
      </c>
      <c r="E528" t="inlineStr">
        <is>
          <t>Complete</t>
        </is>
      </c>
      <c r="F528" s="3">
        <v>38803</v>
      </c>
      <c r="G528" s="3">
        <v>39015</v>
      </c>
      <c r="H528" t="inlineStr">
        <is>
          <t>S0058</t>
        </is>
      </c>
      <c r="N528" t="inlineStr">
        <is>
          <t>Sanofi-Aventis Canada Inc.</t>
        </is>
      </c>
      <c r="Q528" t="inlineStr">
        <is>
          <t>Resubmission</t>
        </is>
      </c>
    </row>
    <row r="529">
      <c r="A529" s="2">
        <f>HYPERLINK("https://www.cadth.ca/pegfilgrastim-5", "Lapelga")</f>
        <v>0</v>
      </c>
      <c r="B529" t="inlineStr">
        <is>
          <t>Pegfilgrastim</t>
        </is>
      </c>
      <c r="C529" t="inlineStr">
        <is>
          <t>Febrile neutropenia</t>
        </is>
      </c>
      <c r="E529" t="inlineStr">
        <is>
          <t>Complete</t>
        </is>
      </c>
      <c r="F529" s="3">
        <v>43154</v>
      </c>
      <c r="H529" t="inlineStr">
        <is>
          <t>SE0555-000</t>
        </is>
      </c>
      <c r="N529" t="inlineStr">
        <is>
          <t>Apobiologix</t>
        </is>
      </c>
      <c r="Q529" t="inlineStr">
        <is>
          <t>Initial</t>
        </is>
      </c>
    </row>
    <row r="530">
      <c r="A530" s="2">
        <f>HYPERLINK("https://www.cadth.ca/lurasidone-14", "Latuda")</f>
        <v>0</v>
      </c>
      <c r="B530" t="inlineStr">
        <is>
          <t>Lurasidone</t>
        </is>
      </c>
      <c r="C530" t="inlineStr">
        <is>
          <t>Schizophrenia</t>
        </is>
      </c>
      <c r="D530" t="inlineStr">
        <is>
          <t>List with criteria/condition</t>
        </is>
      </c>
      <c r="E530" t="inlineStr">
        <is>
          <t>Complete</t>
        </is>
      </c>
      <c r="F530" s="3">
        <v>41403</v>
      </c>
      <c r="G530" s="3">
        <v>41628</v>
      </c>
      <c r="H530" t="inlineStr">
        <is>
          <t>SR0331</t>
        </is>
      </c>
      <c r="N530" t="inlineStr">
        <is>
          <t>Sunovion Pharmaceuticals Inc.</t>
        </is>
      </c>
      <c r="Q530" t="inlineStr">
        <is>
          <t>Resubmission</t>
        </is>
      </c>
    </row>
    <row r="531">
      <c r="A531" s="2">
        <f>HYPERLINK("https://www.cadth.ca/lurasidone-13", "Latuda")</f>
        <v>0</v>
      </c>
      <c r="B531" t="inlineStr">
        <is>
          <t>Lurasidone</t>
        </is>
      </c>
      <c r="C531" t="inlineStr">
        <is>
          <t>schizophrenia</t>
        </is>
      </c>
      <c r="D531" t="inlineStr">
        <is>
          <t>Do not list</t>
        </is>
      </c>
      <c r="E531" t="inlineStr">
        <is>
          <t>Complete</t>
        </is>
      </c>
      <c r="F531" s="3">
        <v>41093</v>
      </c>
      <c r="G531" s="3">
        <v>41297</v>
      </c>
      <c r="H531" t="inlineStr">
        <is>
          <t>SR0284</t>
        </is>
      </c>
      <c r="N531" t="inlineStr">
        <is>
          <t>Sunovion Pharmaceuticals Inc.</t>
        </is>
      </c>
      <c r="Q531" t="inlineStr">
        <is>
          <t>Initial</t>
        </is>
      </c>
    </row>
    <row r="532">
      <c r="A532" s="2">
        <f>HYPERLINK("https://www.cadth.ca/lurasidone-15", "Latuda")</f>
        <v>0</v>
      </c>
      <c r="B532" t="inlineStr">
        <is>
          <t>lurasidone</t>
        </is>
      </c>
      <c r="C532" t="inlineStr">
        <is>
          <t>Bipolar I disorder</t>
        </is>
      </c>
      <c r="D532" t="inlineStr">
        <is>
          <t>CADTH is unable to recommend reimbursement as a submission was not filed by the manufacturer</t>
        </is>
      </c>
      <c r="E532" t="inlineStr">
        <is>
          <t>NotFiled</t>
        </is>
      </c>
      <c r="N532" t="inlineStr">
        <is>
          <t>Sunovion Pharmaceuticals Inc.</t>
        </is>
      </c>
      <c r="Q532" t="inlineStr">
        <is>
          <t>Non-submission</t>
        </is>
      </c>
    </row>
    <row r="533">
      <c r="A533" s="2">
        <f>HYPERLINK("https://www.cadth.ca/alemtuzumab-10", "Lemtrada")</f>
        <v>0</v>
      </c>
      <c r="B533" t="inlineStr">
        <is>
          <t>Alemtuzumab</t>
        </is>
      </c>
      <c r="C533" t="inlineStr">
        <is>
          <t>Multiple Sclerosis, relapsing-remitting</t>
        </is>
      </c>
      <c r="D533" t="inlineStr">
        <is>
          <t>List with criteria/condition</t>
        </is>
      </c>
      <c r="E533" t="inlineStr">
        <is>
          <t>Complete</t>
        </is>
      </c>
      <c r="F533" s="3">
        <v>41970</v>
      </c>
      <c r="G533" s="3">
        <v>42173</v>
      </c>
      <c r="H533" t="inlineStr">
        <is>
          <t>SR0405-000</t>
        </is>
      </c>
      <c r="N533" t="inlineStr">
        <is>
          <t>Genzyme Canada, a Division of Sanofi-Aventis Canada Inc.</t>
        </is>
      </c>
      <c r="Q533" t="inlineStr">
        <is>
          <t>Initial</t>
        </is>
      </c>
    </row>
    <row r="534">
      <c r="A534" s="2">
        <f>HYPERLINK("https://www.cadth.ca/alemtuzumab-9", "Lemtrada")</f>
        <v>0</v>
      </c>
      <c r="B534" t="inlineStr">
        <is>
          <t>Alemtuzumab</t>
        </is>
      </c>
      <c r="C534" t="inlineStr">
        <is>
          <t>Multiple Sclerosis, relapsing</t>
        </is>
      </c>
      <c r="E534" t="inlineStr">
        <is>
          <t>Withdrawn</t>
        </is>
      </c>
      <c r="F534" s="3">
        <v>41548</v>
      </c>
      <c r="H534" t="inlineStr">
        <is>
          <t>SR0355</t>
        </is>
      </c>
      <c r="N534" t="inlineStr">
        <is>
          <t>Genzyme Canada, a Division of sanofi-aventis Canada Inc.</t>
        </is>
      </c>
      <c r="Q534" t="inlineStr">
        <is>
          <t>Pre-NOC</t>
        </is>
      </c>
    </row>
    <row r="535">
      <c r="A535" s="2">
        <f>HYPERLINK("https://www.cadth.ca/insulin-detemir-23", "Levemir")</f>
        <v>0</v>
      </c>
      <c r="B535" t="inlineStr">
        <is>
          <t>Insulin detemir</t>
        </is>
      </c>
      <c r="C535" t="inlineStr">
        <is>
          <t>Diabetes mellitus</t>
        </is>
      </c>
      <c r="D535" t="inlineStr">
        <is>
          <t>Do not list</t>
        </is>
      </c>
      <c r="E535" t="inlineStr">
        <is>
          <t>Complete</t>
        </is>
      </c>
      <c r="F535" s="3">
        <v>38705</v>
      </c>
      <c r="G535" s="3">
        <v>38931</v>
      </c>
      <c r="H535" t="inlineStr">
        <is>
          <t>S0049</t>
        </is>
      </c>
      <c r="N535" t="inlineStr">
        <is>
          <t>Novo Nordisk Canada Inc.</t>
        </is>
      </c>
      <c r="Q535" t="inlineStr">
        <is>
          <t>Initial</t>
        </is>
      </c>
    </row>
    <row r="536">
      <c r="A536" s="2">
        <f>HYPERLINK("https://www.cadth.ca/insulin-detemir-27", "Levemir")</f>
        <v>0</v>
      </c>
      <c r="B536" t="inlineStr">
        <is>
          <t>Insulin detemir</t>
        </is>
      </c>
      <c r="C536" t="inlineStr">
        <is>
          <t>Diabetes mellitus</t>
        </is>
      </c>
      <c r="D536" t="inlineStr">
        <is>
          <t>Do not list</t>
        </is>
      </c>
      <c r="E536" t="inlineStr">
        <is>
          <t>Complete</t>
        </is>
      </c>
      <c r="F536" s="3">
        <v>39882</v>
      </c>
      <c r="G536" s="3">
        <v>40045</v>
      </c>
      <c r="H536" t="inlineStr">
        <is>
          <t>S0160</t>
        </is>
      </c>
      <c r="N536" t="inlineStr">
        <is>
          <t>Novo Nordisk Canada Inc.</t>
        </is>
      </c>
      <c r="Q536" t="inlineStr">
        <is>
          <t>Resubmission 2</t>
        </is>
      </c>
    </row>
    <row r="537">
      <c r="A537" s="2">
        <f>HYPERLINK("https://www.cadth.ca/insulin-detemir-26", "Levemir")</f>
        <v>0</v>
      </c>
      <c r="B537" t="inlineStr">
        <is>
          <t>Insulin detemir</t>
        </is>
      </c>
      <c r="C537" t="inlineStr">
        <is>
          <t>Diabetes mellitus</t>
        </is>
      </c>
      <c r="E537" t="inlineStr">
        <is>
          <t>Withdrawn</t>
        </is>
      </c>
      <c r="F537" s="3">
        <v>39846</v>
      </c>
      <c r="H537" t="inlineStr">
        <is>
          <t>S0158</t>
        </is>
      </c>
      <c r="N537" t="inlineStr">
        <is>
          <t>Novo Nordisk Canada Inc.</t>
        </is>
      </c>
      <c r="Q537" t="inlineStr">
        <is>
          <t>Resubmission</t>
        </is>
      </c>
    </row>
    <row r="538">
      <c r="A538" s="2">
        <f>HYPERLINK("https://www.cadth.ca/insulin-detemir-28", "Levemir")</f>
        <v>0</v>
      </c>
      <c r="B538" t="inlineStr">
        <is>
          <t>Insulin detemir</t>
        </is>
      </c>
      <c r="C538" t="inlineStr">
        <is>
          <t>Diabetes mellitus Type1, Pediatrics</t>
        </is>
      </c>
      <c r="D538" t="inlineStr">
        <is>
          <t>Do not list</t>
        </is>
      </c>
      <c r="E538" t="inlineStr">
        <is>
          <t>Complete</t>
        </is>
      </c>
      <c r="F538" s="3">
        <v>39882</v>
      </c>
      <c r="G538" s="3">
        <v>40045</v>
      </c>
      <c r="H538" t="inlineStr">
        <is>
          <t>S0172</t>
        </is>
      </c>
      <c r="N538" t="inlineStr">
        <is>
          <t>Novo Nordisk Canada Inc.</t>
        </is>
      </c>
      <c r="Q538" t="inlineStr">
        <is>
          <t>New Indication</t>
        </is>
      </c>
    </row>
    <row r="539">
      <c r="A539" s="2">
        <f>HYPERLINK("https://www.cadth.ca/levetiracetam", "pdp-levETIRAcetam")</f>
        <v>0</v>
      </c>
      <c r="B539" t="inlineStr">
        <is>
          <t>Levetiracetam</t>
        </is>
      </c>
      <c r="C539" t="inlineStr">
        <is>
          <t>Adjunctive therapy for:  Adults   management of patients with epilepsy who are not satisfactorily controlled by conventional therapyPediatrics  partial onset seizures with or without secondary generalization in adolescents, children and infants from 1 month of age with epilepsy. myoclonic seizures in adolescents from 12 years of age with Juvenile Myoclonic Epilepsy. primary generalized tonic-clonic seizures in adolescents from 12 years of age with Idiopathic Generalized Epilepsy.</t>
        </is>
      </c>
      <c r="E539" t="inlineStr">
        <is>
          <t>Active</t>
        </is>
      </c>
      <c r="F539" s="3">
        <v>44029</v>
      </c>
      <c r="H539" t="inlineStr">
        <is>
          <t>SR0653-000</t>
        </is>
      </c>
      <c r="N539" t="inlineStr">
        <is>
          <t>Pendopharm, a division of Pharmascience Inc.</t>
        </is>
      </c>
      <c r="Q539" t="inlineStr">
        <is>
          <t>Initial</t>
        </is>
      </c>
    </row>
    <row r="540">
      <c r="A540" s="2">
        <f>HYPERLINK("https://www.cadth.ca/edoxaban-0", "Lixiana VTE")</f>
        <v>0</v>
      </c>
      <c r="B540" t="inlineStr">
        <is>
          <t>Edoxaban</t>
        </is>
      </c>
      <c r="C540" t="inlineStr">
        <is>
          <t>Venous thromboembolism, treatment and recurrence prevention</t>
        </is>
      </c>
      <c r="D540" t="inlineStr">
        <is>
          <t>Reimburse with clinical criteria and/or conditions</t>
        </is>
      </c>
      <c r="E540" t="inlineStr">
        <is>
          <t>Complete</t>
        </is>
      </c>
      <c r="F540" s="3">
        <v>42622</v>
      </c>
      <c r="G540" s="3">
        <v>42880</v>
      </c>
      <c r="H540" t="inlineStr">
        <is>
          <t>SR0499-000</t>
        </is>
      </c>
      <c r="N540" t="inlineStr">
        <is>
          <t>Daiichi Sankyo, Inc.</t>
        </is>
      </c>
      <c r="Q540" t="inlineStr">
        <is>
          <t>New Indication</t>
        </is>
      </c>
    </row>
    <row r="541">
      <c r="A541" s="2">
        <f>HYPERLINK("https://www.cadth.ca/edoxaban", "Lixiana NVAF")</f>
        <v>0</v>
      </c>
      <c r="B541" t="inlineStr">
        <is>
          <t>Edoxaban</t>
        </is>
      </c>
      <c r="C541" t="inlineStr">
        <is>
          <t>Nonvalvular atrial fibrillation, prevention of stroke and systemic embolism</t>
        </is>
      </c>
      <c r="D541" t="inlineStr">
        <is>
          <t>Reimburse with clinical criteria and/or conditions</t>
        </is>
      </c>
      <c r="E541" t="inlineStr">
        <is>
          <t>Complete</t>
        </is>
      </c>
      <c r="F541" s="3">
        <v>42622</v>
      </c>
      <c r="G541" s="3">
        <v>42815</v>
      </c>
      <c r="H541" t="inlineStr">
        <is>
          <t>SR0500-000</t>
        </is>
      </c>
      <c r="N541" t="inlineStr">
        <is>
          <t>Daiichi Sankyo, Inc.</t>
        </is>
      </c>
      <c r="Q541" t="inlineStr">
        <is>
          <t>Initial</t>
        </is>
      </c>
    </row>
    <row r="542">
      <c r="A542" s="2">
        <f>HYPERLINK("https://www.cadth.ca/colesevelam-hydrochloride-6", "Lodalis")</f>
        <v>0</v>
      </c>
      <c r="B542" t="inlineStr">
        <is>
          <t>Colesevelam hydrochloride</t>
        </is>
      </c>
      <c r="C542" t="inlineStr">
        <is>
          <t>Hypercholesterolemia</t>
        </is>
      </c>
      <c r="D542" t="inlineStr">
        <is>
          <t>Do not list at the submitted price</t>
        </is>
      </c>
      <c r="E542" t="inlineStr">
        <is>
          <t>Complete</t>
        </is>
      </c>
      <c r="F542" s="3">
        <v>41026</v>
      </c>
      <c r="G542" s="3">
        <v>41262</v>
      </c>
      <c r="H542" t="inlineStr">
        <is>
          <t>SR0274</t>
        </is>
      </c>
      <c r="N542" t="inlineStr">
        <is>
          <t>Valeant Canada LP</t>
        </is>
      </c>
      <c r="Q542" t="inlineStr">
        <is>
          <t>Initial</t>
        </is>
      </c>
    </row>
    <row r="543">
      <c r="A543" s="2">
        <f>HYPERLINK("https://www.cadth.ca/sodium-zirconium-cyclosilicate", "Lokelma")</f>
        <v>0</v>
      </c>
      <c r="B543" t="inlineStr">
        <is>
          <t>sodium zirconium cyclosilicate</t>
        </is>
      </c>
      <c r="C543" t="inlineStr">
        <is>
          <t>Hyperkalemia, adults</t>
        </is>
      </c>
      <c r="D543" t="inlineStr">
        <is>
          <t>Do not reimburse</t>
        </is>
      </c>
      <c r="E543" t="inlineStr">
        <is>
          <t>Complete</t>
        </is>
      </c>
      <c r="F543" s="3">
        <v>43602</v>
      </c>
      <c r="G543" s="3">
        <v>43915</v>
      </c>
      <c r="H543" t="inlineStr">
        <is>
          <t>SR0612-000</t>
        </is>
      </c>
      <c r="N543" t="inlineStr">
        <is>
          <t>AstraZeneca Canada Inc.</t>
        </is>
      </c>
      <c r="Q543" t="inlineStr">
        <is>
          <t>Initial</t>
        </is>
      </c>
    </row>
    <row r="544">
      <c r="A544" s="2">
        <f>HYPERLINK("https://www.cadth.ca/loteprednol-etabonate-6", "Lotemax")</f>
        <v>0</v>
      </c>
      <c r="B544" t="inlineStr">
        <is>
          <t>Loteprednol etabonate</t>
        </is>
      </c>
      <c r="C544" t="inlineStr">
        <is>
          <t>Post-operative inflammation following cataract surgery</t>
        </is>
      </c>
      <c r="D544" t="inlineStr">
        <is>
          <t>Do not list</t>
        </is>
      </c>
      <c r="E544" t="inlineStr">
        <is>
          <t>Complete</t>
        </is>
      </c>
      <c r="F544" s="3">
        <v>40149</v>
      </c>
      <c r="G544" s="3">
        <v>40317</v>
      </c>
      <c r="H544" t="inlineStr">
        <is>
          <t>S0186</t>
        </is>
      </c>
      <c r="N544" t="inlineStr">
        <is>
          <t>Bausch &amp; Lomb</t>
        </is>
      </c>
      <c r="Q544" t="inlineStr">
        <is>
          <t>Initial</t>
        </is>
      </c>
    </row>
    <row r="545">
      <c r="A545" s="2">
        <f>HYPERLINK("https://www.cadth.ca/ranibizumab-18", "Lucentis")</f>
        <v>0</v>
      </c>
      <c r="B545" t="inlineStr">
        <is>
          <t>Ranibizumab</t>
        </is>
      </c>
      <c r="C545" t="inlineStr">
        <is>
          <t>Macular degeneration, age-related</t>
        </is>
      </c>
      <c r="D545" t="inlineStr">
        <is>
          <t>List with clinical criteria and/or conditions</t>
        </is>
      </c>
      <c r="E545" t="inlineStr">
        <is>
          <t>Complete</t>
        </is>
      </c>
      <c r="F545" s="3">
        <v>39275</v>
      </c>
      <c r="G545" s="3">
        <v>39534</v>
      </c>
      <c r="H545" t="inlineStr">
        <is>
          <t>S0098</t>
        </is>
      </c>
      <c r="N545" t="inlineStr">
        <is>
          <t>Novartis Pharmaceuticals Inc.</t>
        </is>
      </c>
      <c r="Q545" t="inlineStr">
        <is>
          <t>Initial</t>
        </is>
      </c>
    </row>
    <row r="546">
      <c r="A546" s="2">
        <f>HYPERLINK("https://www.cadth.ca/ranibizumab-injection-6", "Lucentis")</f>
        <v>0</v>
      </c>
      <c r="B546" t="inlineStr">
        <is>
          <t>Ranibizumab injection</t>
        </is>
      </c>
      <c r="C546" t="inlineStr">
        <is>
          <t>Macular edema, secondary to retinal vein occlusion</t>
        </is>
      </c>
      <c r="D546" t="inlineStr">
        <is>
          <t>List with clinical criteria and/or conditions</t>
        </is>
      </c>
      <c r="E546" t="inlineStr">
        <is>
          <t>Complete</t>
        </is>
      </c>
      <c r="F546" s="3">
        <v>41024</v>
      </c>
      <c r="G546" s="3">
        <v>41200</v>
      </c>
      <c r="H546" t="inlineStr">
        <is>
          <t>SR0276</t>
        </is>
      </c>
      <c r="N546" t="inlineStr">
        <is>
          <t>Novartis Pharmaceuticals Canada Inc.</t>
        </is>
      </c>
      <c r="Q546" t="inlineStr">
        <is>
          <t>Initial</t>
        </is>
      </c>
    </row>
    <row r="547">
      <c r="A547" s="2">
        <f>HYPERLINK("https://www.cadth.ca/ranibizumab-lucentis", "Lucentis")</f>
        <v>0</v>
      </c>
      <c r="B547" t="inlineStr">
        <is>
          <t>Ranibizumab</t>
        </is>
      </c>
      <c r="C547" t="inlineStr">
        <is>
          <t>Choroidal neovascularisation, myopic</t>
        </is>
      </c>
      <c r="D547" t="inlineStr">
        <is>
          <t>List with criteria/condition</t>
        </is>
      </c>
      <c r="E547" t="inlineStr">
        <is>
          <t>Complete</t>
        </is>
      </c>
      <c r="F547" s="3">
        <v>41698</v>
      </c>
      <c r="G547" s="3">
        <v>42054</v>
      </c>
      <c r="H547" t="inlineStr">
        <is>
          <t>SR0373-000</t>
        </is>
      </c>
      <c r="N547" t="inlineStr">
        <is>
          <t>Novartis Pharmaceuticals Canada Inc.</t>
        </is>
      </c>
      <c r="Q547" t="inlineStr">
        <is>
          <t>Initial</t>
        </is>
      </c>
    </row>
    <row r="548">
      <c r="A548" s="2">
        <f>HYPERLINK("https://www.cadth.ca/ranibizumab-19", "Lucentis")</f>
        <v>0</v>
      </c>
      <c r="B548" t="inlineStr">
        <is>
          <t>Ranibizumab</t>
        </is>
      </c>
      <c r="C548" t="inlineStr">
        <is>
          <t>Macular edema, diabetic</t>
        </is>
      </c>
      <c r="D548" t="inlineStr">
        <is>
          <t>List with clinical criteria and/or conditions</t>
        </is>
      </c>
      <c r="E548" t="inlineStr">
        <is>
          <t>Complete</t>
        </is>
      </c>
      <c r="F548" s="3">
        <v>40800</v>
      </c>
      <c r="G548" s="3">
        <v>40987</v>
      </c>
      <c r="H548" t="inlineStr">
        <is>
          <t>S0253</t>
        </is>
      </c>
      <c r="N548" t="inlineStr">
        <is>
          <t>Novartis Pharmaceuticals Canada Inc.</t>
        </is>
      </c>
      <c r="Q548" t="inlineStr">
        <is>
          <t>Initial</t>
        </is>
      </c>
    </row>
    <row r="549">
      <c r="A549" s="2">
        <f>HYPERLINK("https://www.cadth.ca/voretigene-neparvovec", "Luxturna")</f>
        <v>0</v>
      </c>
      <c r="B549" t="inlineStr">
        <is>
          <t>voretigene neparvovec</t>
        </is>
      </c>
      <c r="C549" t="inlineStr">
        <is>
          <t>​Indicated for the treatment of adult and pediatric patients with vision loss due to inherited retinal dystrophy caused by confirmed biallelic RPE65 mutations and who have sufficient viable retinal cells.</t>
        </is>
      </c>
      <c r="E549" t="inlineStr">
        <is>
          <t>Active</t>
        </is>
      </c>
      <c r="F549" s="3">
        <v>43944</v>
      </c>
      <c r="H549" t="inlineStr">
        <is>
          <t>SG0643-000</t>
        </is>
      </c>
      <c r="N549" t="inlineStr">
        <is>
          <t>Novartis Pharmaceuticals Canada Inc.</t>
        </is>
      </c>
      <c r="Q549" t="inlineStr">
        <is>
          <t>Initial</t>
        </is>
      </c>
    </row>
    <row r="550">
      <c r="A550" s="2">
        <f>HYPERLINK("https://www.cadth.ca/pregabalin-12", "Lyrica")</f>
        <v>0</v>
      </c>
      <c r="B550" t="inlineStr">
        <is>
          <t>Pregabalin</t>
        </is>
      </c>
      <c r="C550" t="inlineStr">
        <is>
          <t>diabetic peripheral neuropathy</t>
        </is>
      </c>
      <c r="D550" t="inlineStr">
        <is>
          <t>Do not list</t>
        </is>
      </c>
      <c r="E550" t="inlineStr">
        <is>
          <t>Complete</t>
        </is>
      </c>
      <c r="F550" s="3">
        <v>39892</v>
      </c>
      <c r="G550" s="3">
        <v>40079</v>
      </c>
      <c r="H550" t="inlineStr">
        <is>
          <t>S0162</t>
        </is>
      </c>
      <c r="N550" t="inlineStr">
        <is>
          <t>Pfizer Canada Inc.</t>
        </is>
      </c>
      <c r="Q550" t="inlineStr">
        <is>
          <t>Resubmission</t>
        </is>
      </c>
    </row>
    <row r="551">
      <c r="A551" s="2">
        <f>HYPERLINK("https://www.cadth.ca/pregabalin-10", "Lyrica")</f>
        <v>0</v>
      </c>
      <c r="B551" t="inlineStr">
        <is>
          <t>Pregabalin</t>
        </is>
      </c>
      <c r="C551" t="inlineStr">
        <is>
          <t>Pain, Neuropathic</t>
        </is>
      </c>
      <c r="D551" t="inlineStr">
        <is>
          <t>Do not list</t>
        </is>
      </c>
      <c r="E551" t="inlineStr">
        <is>
          <t>Complete</t>
        </is>
      </c>
      <c r="F551" s="3">
        <v>38530</v>
      </c>
      <c r="G551" s="3">
        <v>38742</v>
      </c>
      <c r="H551" t="inlineStr">
        <is>
          <t>S0036</t>
        </is>
      </c>
      <c r="N551" t="inlineStr">
        <is>
          <t>Pfizer Canada Inc.</t>
        </is>
      </c>
      <c r="Q551" t="inlineStr">
        <is>
          <t>Initial</t>
        </is>
      </c>
    </row>
    <row r="552">
      <c r="A552" s="2">
        <f>HYPERLINK("https://www.cadth.ca/pantoprazole-magnesium-6", "Pantoloc M")</f>
        <v>0</v>
      </c>
      <c r="B552" t="inlineStr">
        <is>
          <t>Pantoprazole magnesium</t>
        </is>
      </c>
      <c r="C552" t="inlineStr">
        <is>
          <t>Gastric acid secretion, reduction of</t>
        </is>
      </c>
      <c r="D552" t="inlineStr">
        <is>
          <t>List in a similar manner to other drugs in class</t>
        </is>
      </c>
      <c r="E552" t="inlineStr">
        <is>
          <t>Complete</t>
        </is>
      </c>
      <c r="F552" s="3">
        <v>38793</v>
      </c>
      <c r="G552" s="3">
        <v>38918</v>
      </c>
      <c r="H552" t="inlineStr">
        <is>
          <t>S0054</t>
        </is>
      </c>
      <c r="N552" t="inlineStr">
        <is>
          <t>Altana Pharma Inc.</t>
        </is>
      </c>
      <c r="Q552" t="inlineStr">
        <is>
          <t>Initial</t>
        </is>
      </c>
    </row>
    <row r="553">
      <c r="A553" s="2">
        <f>HYPERLINK("https://www.cadth.ca/pegaptanib-sodium-6", "Macugen")</f>
        <v>0</v>
      </c>
      <c r="B553" t="inlineStr">
        <is>
          <t>Pegaptanib sodium</t>
        </is>
      </c>
      <c r="C553" t="inlineStr">
        <is>
          <t>Macular degeneration, age-related</t>
        </is>
      </c>
      <c r="D553" t="inlineStr">
        <is>
          <t>Do not list</t>
        </is>
      </c>
      <c r="E553" t="inlineStr">
        <is>
          <t>Complete</t>
        </is>
      </c>
      <c r="F553" s="3">
        <v>38645</v>
      </c>
      <c r="G553" s="3">
        <v>38862</v>
      </c>
      <c r="H553" t="inlineStr">
        <is>
          <t>S0044</t>
        </is>
      </c>
      <c r="N553" t="inlineStr">
        <is>
          <t>Pfizer Canada Inc.</t>
        </is>
      </c>
      <c r="Q553" t="inlineStr">
        <is>
          <t>Initial</t>
        </is>
      </c>
    </row>
    <row r="554">
      <c r="A554" s="2">
        <f>HYPERLINK("https://www.cadth.ca/cladribine", "Mavenclad")</f>
        <v>0</v>
      </c>
      <c r="B554" t="inlineStr">
        <is>
          <t>cladribine</t>
        </is>
      </c>
      <c r="C554" t="inlineStr">
        <is>
          <t>Multiple Sclerosis, relapsing</t>
        </is>
      </c>
      <c r="D554" t="inlineStr">
        <is>
          <t>Reimburse with clinical criteria and/or conditions</t>
        </is>
      </c>
      <c r="E554" t="inlineStr">
        <is>
          <t>Complete</t>
        </is>
      </c>
      <c r="F554" s="3">
        <v>43070</v>
      </c>
      <c r="G554" s="3">
        <v>43397</v>
      </c>
      <c r="H554" t="inlineStr">
        <is>
          <t>SR0546-000</t>
        </is>
      </c>
      <c r="N554" t="inlineStr">
        <is>
          <t>EMD Serono, a Division of EMD Inc., Canada</t>
        </is>
      </c>
      <c r="Q554" t="inlineStr">
        <is>
          <t>Initial</t>
        </is>
      </c>
    </row>
    <row r="555">
      <c r="A555" s="2">
        <f>HYPERLINK("https://www.cadth.ca/glecaprevir-pibrentasvir", "Maviret")</f>
        <v>0</v>
      </c>
      <c r="B555" t="inlineStr">
        <is>
          <t>glecaprevir pibrentasvir</t>
        </is>
      </c>
      <c r="C555" t="inlineStr">
        <is>
          <t>Hepatitis C, chronic</t>
        </is>
      </c>
      <c r="D555" t="inlineStr">
        <is>
          <t>Reimburse with clinical criteria and/or conditions</t>
        </is>
      </c>
      <c r="E555" t="inlineStr">
        <is>
          <t>Complete</t>
        </is>
      </c>
      <c r="F555" s="3">
        <v>42895</v>
      </c>
      <c r="G555" s="3">
        <v>43123</v>
      </c>
      <c r="H555" t="inlineStr">
        <is>
          <t>SR0523-000</t>
        </is>
      </c>
      <c r="N555" t="inlineStr">
        <is>
          <t>AbbVie Corporation</t>
        </is>
      </c>
      <c r="Q555" t="inlineStr">
        <is>
          <t>Initial</t>
        </is>
      </c>
    </row>
    <row r="556">
      <c r="A556" s="2">
        <f>HYPERLINK("https://www.cadth.ca/siponimod", "Mayzent")</f>
        <v>0</v>
      </c>
      <c r="B556" t="inlineStr">
        <is>
          <t>siponimod</t>
        </is>
      </c>
      <c r="C556" t="inlineStr">
        <is>
          <t>Secondary progressive multiple sclerosis</t>
        </is>
      </c>
      <c r="D556" t="inlineStr">
        <is>
          <t>Reimburse with clinical criteria and/or conditions</t>
        </is>
      </c>
      <c r="E556" t="inlineStr">
        <is>
          <t>Complete</t>
        </is>
      </c>
      <c r="F556" s="3">
        <v>43734</v>
      </c>
      <c r="G556" s="3">
        <v>44033</v>
      </c>
      <c r="H556" t="inlineStr">
        <is>
          <t>SR0631-000</t>
        </is>
      </c>
      <c r="N556" t="inlineStr">
        <is>
          <t>Novartis Pharmaceuticals Canada Inc.</t>
        </is>
      </c>
      <c r="Q556" t="inlineStr">
        <is>
          <t>Initial</t>
        </is>
      </c>
    </row>
    <row r="557">
      <c r="A557" s="2">
        <f>HYPERLINK("https://www.cadth.ca/nitisinone-0", "MDK-Nitisinone")</f>
        <v>0</v>
      </c>
      <c r="B557" t="inlineStr">
        <is>
          <t>nitisinone</t>
        </is>
      </c>
      <c r="C557" t="inlineStr">
        <is>
          <t>Hereditary tyrosinemia type 1</t>
        </is>
      </c>
      <c r="D557" t="inlineStr">
        <is>
          <t>Reimburse with clinical criteria and/or conditions</t>
        </is>
      </c>
      <c r="E557" t="inlineStr">
        <is>
          <t>Complete</t>
        </is>
      </c>
      <c r="F557" s="3">
        <v>43007</v>
      </c>
      <c r="G557" s="3">
        <v>43215</v>
      </c>
      <c r="H557" t="inlineStr">
        <is>
          <t>SR0538-000</t>
        </is>
      </c>
      <c r="N557" t="inlineStr">
        <is>
          <t>MendeliKABS Inc</t>
        </is>
      </c>
      <c r="Q557" t="inlineStr">
        <is>
          <t>Initial</t>
        </is>
      </c>
    </row>
    <row r="558">
      <c r="A558" s="2">
        <f>HYPERLINK("https://www.cadth.ca/propiverine-hydrochloride", "Mictoryl")</f>
        <v>0</v>
      </c>
      <c r="B558" t="inlineStr">
        <is>
          <t>Propiverine hydrochloride</t>
        </is>
      </c>
      <c r="C558" t="inlineStr">
        <is>
          <t>Overactive bladder (OAB)</t>
        </is>
      </c>
      <c r="D558" t="inlineStr">
        <is>
          <t>Reimburse with clinical criteria and/or conditions</t>
        </is>
      </c>
      <c r="E558" t="inlineStr">
        <is>
          <t>Complete</t>
        </is>
      </c>
      <c r="F558" s="3">
        <v>42657</v>
      </c>
      <c r="G558" s="3">
        <v>42844</v>
      </c>
      <c r="H558" t="inlineStr">
        <is>
          <t>SR0504-000</t>
        </is>
      </c>
      <c r="N558" t="inlineStr">
        <is>
          <t>Duchesnay Inc.</t>
        </is>
      </c>
      <c r="Q558" t="inlineStr">
        <is>
          <t>Initial</t>
        </is>
      </c>
    </row>
    <row r="559">
      <c r="A559" s="2">
        <f>HYPERLINK("https://www.cadth.ca/mifepristone-and-misoprostol", "Mifegymiso")</f>
        <v>0</v>
      </c>
      <c r="B559" t="inlineStr">
        <is>
          <t>Mifepristone and misoprostol</t>
        </is>
      </c>
      <c r="C559" t="inlineStr">
        <is>
          <t>Medical termination of pregnancy (gestational age up to 49 days)</t>
        </is>
      </c>
      <c r="E559" t="inlineStr">
        <is>
          <t>Withdrawn</t>
        </is>
      </c>
      <c r="F559" s="3">
        <v>42412</v>
      </c>
      <c r="H559" t="inlineStr">
        <is>
          <t>SR0473</t>
        </is>
      </c>
      <c r="N559" t="inlineStr">
        <is>
          <t>Celopharma Inc.</t>
        </is>
      </c>
      <c r="Q559" t="inlineStr">
        <is>
          <t>Initial</t>
        </is>
      </c>
    </row>
    <row r="560">
      <c r="A560" s="2">
        <f>HYPERLINK("https://www.cadth.ca/mifepristone-and-misoprostol-0", "Mifegymiso")</f>
        <v>0</v>
      </c>
      <c r="B560" t="inlineStr">
        <is>
          <t>Mifepristone and misoprostol</t>
        </is>
      </c>
      <c r="C560" t="inlineStr">
        <is>
          <t>Medical termination of pregnancy</t>
        </is>
      </c>
      <c r="D560" t="inlineStr">
        <is>
          <t>Reimburse</t>
        </is>
      </c>
      <c r="E560" t="inlineStr">
        <is>
          <t>Complete</t>
        </is>
      </c>
      <c r="F560" s="3">
        <v>42650</v>
      </c>
      <c r="G560" s="3">
        <v>42843</v>
      </c>
      <c r="H560" t="inlineStr">
        <is>
          <t>SR0502</t>
        </is>
      </c>
      <c r="N560" t="inlineStr">
        <is>
          <t>Celopharma Inc.</t>
        </is>
      </c>
      <c r="Q560" t="inlineStr">
        <is>
          <t>Initial</t>
        </is>
      </c>
    </row>
    <row r="561">
      <c r="A561" s="2">
        <f>HYPERLINK("https://www.cadth.ca/iron-iii-isomaltoside-1000", "Monoferric")</f>
        <v>0</v>
      </c>
      <c r="B561" t="inlineStr">
        <is>
          <t>Iron (III) Isomaltoside 1000</t>
        </is>
      </c>
      <c r="C561" t="inlineStr">
        <is>
          <t>iron deficiency anemia</t>
        </is>
      </c>
      <c r="D561" t="inlineStr">
        <is>
          <t>Reimburse with clinical criteria and/or conditions</t>
        </is>
      </c>
      <c r="E561" t="inlineStr">
        <is>
          <t>Complete</t>
        </is>
      </c>
      <c r="F561" s="3">
        <v>43642</v>
      </c>
      <c r="G561" s="3">
        <v>43915</v>
      </c>
      <c r="H561" t="inlineStr">
        <is>
          <t>SR0622-000</t>
        </is>
      </c>
      <c r="N561" t="inlineStr">
        <is>
          <t>Pharmacosmos A/S</t>
        </is>
      </c>
      <c r="Q561" t="inlineStr">
        <is>
          <t>Initial</t>
        </is>
      </c>
    </row>
    <row r="562">
      <c r="A562" s="2">
        <f>HYPERLINK("https://www.cadth.ca/latanoprost", "Monoprost")</f>
        <v>0</v>
      </c>
      <c r="B562" t="inlineStr">
        <is>
          <t>latanoprost</t>
        </is>
      </c>
      <c r="C562" t="inlineStr">
        <is>
          <t>glaucoma and ocular hypertension</t>
        </is>
      </c>
      <c r="D562" t="inlineStr">
        <is>
          <t>Reimburse with clinical criteria and/or conditions</t>
        </is>
      </c>
      <c r="E562" t="inlineStr">
        <is>
          <t>Complete</t>
        </is>
      </c>
      <c r="F562" s="3">
        <v>43033</v>
      </c>
      <c r="G562" s="3">
        <v>43214</v>
      </c>
      <c r="H562" t="inlineStr">
        <is>
          <t>SR0541-000</t>
        </is>
      </c>
      <c r="N562" t="inlineStr">
        <is>
          <t>Laboratoires Théa</t>
        </is>
      </c>
      <c r="Q562" t="inlineStr">
        <is>
          <t>Initial</t>
        </is>
      </c>
    </row>
    <row r="563">
      <c r="A563" s="2">
        <f>HYPERLINK("https://www.cadth.ca/apomorphine", "Movapo")</f>
        <v>0</v>
      </c>
      <c r="B563" t="inlineStr">
        <is>
          <t>apomorphine hydrochloride</t>
        </is>
      </c>
      <c r="C563" t="inlineStr">
        <is>
          <t>Parkinson's disease</t>
        </is>
      </c>
      <c r="D563" t="inlineStr">
        <is>
          <t>Reimburse with clinical criteria and/or conditions</t>
        </is>
      </c>
      <c r="E563" t="inlineStr">
        <is>
          <t>Complete</t>
        </is>
      </c>
      <c r="F563" s="3">
        <v>42922</v>
      </c>
      <c r="G563" s="3">
        <v>43123</v>
      </c>
      <c r="H563" t="inlineStr">
        <is>
          <t>SR0527-000</t>
        </is>
      </c>
      <c r="N563" t="inlineStr">
        <is>
          <t>Paladin Labs Inc.</t>
        </is>
      </c>
      <c r="Q563" t="inlineStr">
        <is>
          <t>Initial</t>
        </is>
      </c>
    </row>
    <row r="564">
      <c r="A564" s="2">
        <f>HYPERLINK("https://www.cadth.ca/plerixafor-6", "Mozobil")</f>
        <v>0</v>
      </c>
      <c r="B564" t="inlineStr">
        <is>
          <t>Plerixafor</t>
        </is>
      </c>
      <c r="C564" t="inlineStr">
        <is>
          <t>Hematopoietic stem cell mobilizer in non-Hodgkin's lymphoma and multiple myeloma</t>
        </is>
      </c>
      <c r="D564" t="inlineStr">
        <is>
          <t>Do not list</t>
        </is>
      </c>
      <c r="E564" t="inlineStr">
        <is>
          <t>Complete</t>
        </is>
      </c>
      <c r="F564" s="3">
        <v>40932</v>
      </c>
      <c r="G564" s="3">
        <v>41178</v>
      </c>
      <c r="H564" t="inlineStr">
        <is>
          <t>SR0265</t>
        </is>
      </c>
      <c r="N564" t="inlineStr">
        <is>
          <t>Genzyme Canada Inc.</t>
        </is>
      </c>
      <c r="Q564" t="inlineStr">
        <is>
          <t>Initial</t>
        </is>
      </c>
    </row>
    <row r="565">
      <c r="A565" s="2">
        <f>HYPERLINK("https://www.cadth.ca/dronedarone-hydrochloride-6", "Multaq")</f>
        <v>0</v>
      </c>
      <c r="B565" t="inlineStr">
        <is>
          <t>Dronedarone hydrochloride</t>
        </is>
      </c>
      <c r="C565" t="inlineStr">
        <is>
          <t>Atrial fibrillation</t>
        </is>
      </c>
      <c r="D565" t="inlineStr">
        <is>
          <t>Do not list</t>
        </is>
      </c>
      <c r="E565" t="inlineStr">
        <is>
          <t>Complete</t>
        </is>
      </c>
      <c r="F565" s="3">
        <v>40074</v>
      </c>
      <c r="G565" s="3">
        <v>40325</v>
      </c>
      <c r="H565" t="inlineStr">
        <is>
          <t>S0177</t>
        </is>
      </c>
      <c r="N565" t="inlineStr">
        <is>
          <t>Sanofi-Aventis Canada Inc.</t>
        </is>
      </c>
      <c r="Q565" t="inlineStr">
        <is>
          <t>Initial</t>
        </is>
      </c>
    </row>
    <row r="566">
      <c r="A566" s="2">
        <f>HYPERLINK("https://www.cadth.ca/mycophenolate-sodium-4", "Myfortic")</f>
        <v>0</v>
      </c>
      <c r="B566" t="inlineStr">
        <is>
          <t>Mycophenolate sodium</t>
        </is>
      </c>
      <c r="C566" t="inlineStr">
        <is>
          <t>Organ rejection in allogeneic renal transplants, Prophylaxis</t>
        </is>
      </c>
      <c r="D566" t="inlineStr">
        <is>
          <t>List in a similar manner to other drugs in class</t>
        </is>
      </c>
      <c r="E566" t="inlineStr">
        <is>
          <t>Complete</t>
        </is>
      </c>
      <c r="F566" s="3">
        <v>38414</v>
      </c>
      <c r="G566" s="3">
        <v>38541</v>
      </c>
      <c r="H566" t="inlineStr">
        <is>
          <t>S0034</t>
        </is>
      </c>
      <c r="N566" t="inlineStr">
        <is>
          <t>Novartis Pharmaceuticals Canada Inc.</t>
        </is>
      </c>
      <c r="Q566" t="inlineStr">
        <is>
          <t>Initial</t>
        </is>
      </c>
    </row>
    <row r="567">
      <c r="A567" s="2">
        <f>HYPERLINK("https://www.cadth.ca/alglucosidase-6", "Myozyme")</f>
        <v>0</v>
      </c>
      <c r="B567" t="inlineStr">
        <is>
          <t>Alglucosidase</t>
        </is>
      </c>
      <c r="C567" t="inlineStr">
        <is>
          <t>Pompe’s disease</t>
        </is>
      </c>
      <c r="D567" t="inlineStr">
        <is>
          <t>List with clinical criteria and/or conditions</t>
        </is>
      </c>
      <c r="E567" t="inlineStr">
        <is>
          <t>Complete</t>
        </is>
      </c>
      <c r="F567" s="3">
        <v>39000</v>
      </c>
      <c r="G567" s="3">
        <v>39247</v>
      </c>
      <c r="H567" t="inlineStr">
        <is>
          <t>S0080</t>
        </is>
      </c>
      <c r="N567" t="inlineStr">
        <is>
          <t>Genzyme Canada Inc.</t>
        </is>
      </c>
      <c r="Q567" t="inlineStr">
        <is>
          <t>Initial</t>
        </is>
      </c>
    </row>
    <row r="568">
      <c r="A568" s="2">
        <f>HYPERLINK("https://www.cadth.ca/mirabegron-11", "Myrbetriq")</f>
        <v>0</v>
      </c>
      <c r="B568" t="inlineStr">
        <is>
          <t>Mirabegron</t>
        </is>
      </c>
      <c r="C568" t="inlineStr">
        <is>
          <t>Bladder, overactive</t>
        </is>
      </c>
      <c r="D568" t="inlineStr">
        <is>
          <t>List with criteria/condition</t>
        </is>
      </c>
      <c r="E568" t="inlineStr">
        <is>
          <t>Complete</t>
        </is>
      </c>
      <c r="F568" s="3">
        <v>41605</v>
      </c>
      <c r="G568" s="3">
        <v>41955</v>
      </c>
      <c r="H568" t="inlineStr">
        <is>
          <t>SR0363</t>
        </is>
      </c>
      <c r="N568" t="inlineStr">
        <is>
          <t>Astellas Pharma Canada Inc.</t>
        </is>
      </c>
      <c r="Q568" t="inlineStr">
        <is>
          <t>Initial</t>
        </is>
      </c>
    </row>
    <row r="569">
      <c r="A569" s="2">
        <f>HYPERLINK("https://www.cadth.ca/mirabegron-9", "Myrbetriq")</f>
        <v>0</v>
      </c>
      <c r="B569" t="inlineStr">
        <is>
          <t>Mirabegron</t>
        </is>
      </c>
      <c r="C569" t="inlineStr">
        <is>
          <t>Bladder, Overactive</t>
        </is>
      </c>
      <c r="E569" t="inlineStr">
        <is>
          <t>Withdrawn</t>
        </is>
      </c>
      <c r="F569" s="3">
        <v>41341</v>
      </c>
      <c r="H569" t="inlineStr">
        <is>
          <t>SR0319</t>
        </is>
      </c>
      <c r="N569" t="inlineStr">
        <is>
          <t>Astellas Pharma Canada, Inc.</t>
        </is>
      </c>
      <c r="Q569" t="inlineStr">
        <is>
          <t>Initial</t>
        </is>
      </c>
    </row>
    <row r="570">
      <c r="A570" s="2">
        <f>HYPERLINK("https://www.cadth.ca/galsulfase-SR0434", "Naglazyme")</f>
        <v>0</v>
      </c>
      <c r="B570" t="inlineStr">
        <is>
          <t>Galsulfase (Drug Plan Submission)</t>
        </is>
      </c>
      <c r="C570" t="inlineStr">
        <is>
          <t>Mucopolysaccharidosis VI</t>
        </is>
      </c>
      <c r="D570" t="inlineStr">
        <is>
          <t>List with clinical criteria and/or conditions</t>
        </is>
      </c>
      <c r="E570" t="inlineStr">
        <is>
          <t>Complete</t>
        </is>
      </c>
      <c r="F570" s="3">
        <v>42236</v>
      </c>
      <c r="G570" s="3">
        <v>42419</v>
      </c>
      <c r="H570" t="inlineStr">
        <is>
          <t>SR0434-000</t>
        </is>
      </c>
      <c r="N570" t="inlineStr">
        <is>
          <t>BioMarin Pharmaceutical (Canada) Inc.</t>
        </is>
      </c>
      <c r="Q570" t="inlineStr">
        <is>
          <t>Drug Plan Initiated</t>
        </is>
      </c>
    </row>
    <row r="571">
      <c r="A571" s="2">
        <f>HYPERLINK("https://www.cadth.ca/alogliptin-nesina-type-2-diabetes-mellitus", "Nesina")</f>
        <v>0</v>
      </c>
      <c r="B571" t="inlineStr">
        <is>
          <t>Alogliptin</t>
        </is>
      </c>
      <c r="C571" t="inlineStr">
        <is>
          <t>Diabetes mellitus (Type 2)</t>
        </is>
      </c>
      <c r="D571" t="inlineStr">
        <is>
          <t>Do not list</t>
        </is>
      </c>
      <c r="E571" t="inlineStr">
        <is>
          <t>Complete</t>
        </is>
      </c>
      <c r="F571" s="3">
        <v>41669</v>
      </c>
      <c r="G571" s="3">
        <v>42019</v>
      </c>
      <c r="H571" t="inlineStr">
        <is>
          <t>SR0368-000</t>
        </is>
      </c>
      <c r="N571" t="inlineStr">
        <is>
          <t>Takeda Canada Inc.</t>
        </is>
      </c>
      <c r="Q571" t="inlineStr">
        <is>
          <t>Initial</t>
        </is>
      </c>
    </row>
    <row r="572">
      <c r="A572" s="2">
        <f>HYPERLINK("https://www.cadth.ca/pegfilgrastim-4", "Neulasta")</f>
        <v>0</v>
      </c>
      <c r="B572" t="inlineStr">
        <is>
          <t>Pegfilgrastim</t>
        </is>
      </c>
      <c r="C572" t="inlineStr">
        <is>
          <t>Neutropenia</t>
        </is>
      </c>
      <c r="D572" t="inlineStr">
        <is>
          <t>List with clinical criteria and/or conditions</t>
        </is>
      </c>
      <c r="E572" t="inlineStr">
        <is>
          <t>Complete</t>
        </is>
      </c>
      <c r="F572" s="3">
        <v>38075</v>
      </c>
      <c r="G572" s="3">
        <v>38287</v>
      </c>
      <c r="H572" t="inlineStr">
        <is>
          <t>S0009</t>
        </is>
      </c>
      <c r="N572" t="inlineStr">
        <is>
          <t>Amgen Canada Inc.</t>
        </is>
      </c>
      <c r="Q572" t="inlineStr">
        <is>
          <t>Initial</t>
        </is>
      </c>
    </row>
    <row r="573">
      <c r="A573" s="2">
        <f>HYPERLINK("https://www.cadth.ca/rotigotine-6", "Neupro")</f>
        <v>0</v>
      </c>
      <c r="B573" t="inlineStr">
        <is>
          <t>Rotigotine</t>
        </is>
      </c>
      <c r="C573" t="inlineStr">
        <is>
          <t>Parkinson’s Disease</t>
        </is>
      </c>
      <c r="D573" t="inlineStr">
        <is>
          <t>Do not list</t>
        </is>
      </c>
      <c r="E573" t="inlineStr">
        <is>
          <t>Complete</t>
        </is>
      </c>
      <c r="F573" s="3">
        <v>41486</v>
      </c>
      <c r="G573" s="3">
        <v>41787</v>
      </c>
      <c r="H573" t="inlineStr">
        <is>
          <t>SR0344</t>
        </is>
      </c>
      <c r="N573" t="inlineStr">
        <is>
          <t>UCB Canada Inc.</t>
        </is>
      </c>
      <c r="Q573" t="inlineStr">
        <is>
          <t>Initial</t>
        </is>
      </c>
    </row>
    <row r="574">
      <c r="A574" s="2">
        <f>HYPERLINK("https://www.cadth.ca/rotigotine-7", "Neupro")</f>
        <v>0</v>
      </c>
      <c r="B574" t="inlineStr">
        <is>
          <t>Rotigotine</t>
        </is>
      </c>
      <c r="C574" t="inlineStr">
        <is>
          <t>Parkinson’s Disease</t>
        </is>
      </c>
      <c r="D574" t="inlineStr">
        <is>
          <t>List with clinical criteria and/or conditions</t>
        </is>
      </c>
      <c r="E574" t="inlineStr">
        <is>
          <t>Complete</t>
        </is>
      </c>
      <c r="F574" s="3">
        <v>42145</v>
      </c>
      <c r="G574" s="3">
        <v>42327</v>
      </c>
      <c r="H574" t="inlineStr">
        <is>
          <t>SR0432-000</t>
        </is>
      </c>
      <c r="N574" t="inlineStr">
        <is>
          <t>UCB Canada Inc.</t>
        </is>
      </c>
      <c r="Q574" t="inlineStr">
        <is>
          <t>Resubmission</t>
        </is>
      </c>
    </row>
    <row r="575">
      <c r="A575" s="2">
        <f>HYPERLINK("https://www.cadth.ca/sorafenib-tablets-6", "Nexavar")</f>
        <v>0</v>
      </c>
      <c r="B575" t="inlineStr">
        <is>
          <t>Sorafenib tablets</t>
        </is>
      </c>
      <c r="C575" t="inlineStr">
        <is>
          <t>Cancer, Renal cell carcinoma</t>
        </is>
      </c>
      <c r="D575" t="inlineStr">
        <is>
          <t>Do not list</t>
        </is>
      </c>
      <c r="E575" t="inlineStr">
        <is>
          <t>Complete</t>
        </is>
      </c>
      <c r="F575" s="3">
        <v>38929</v>
      </c>
      <c r="G575" s="3">
        <v>39141</v>
      </c>
      <c r="H575" t="inlineStr">
        <is>
          <t>S0071</t>
        </is>
      </c>
      <c r="N575" t="inlineStr">
        <is>
          <t>Bayer Inc.</t>
        </is>
      </c>
      <c r="Q575" t="inlineStr">
        <is>
          <t>Initial</t>
        </is>
      </c>
    </row>
    <row r="576">
      <c r="A576" s="2">
        <f>HYPERLINK("https://www.cadth.ca/etonogestrel-0", "Nexplanon")</f>
        <v>0</v>
      </c>
      <c r="B576" t="inlineStr">
        <is>
          <t>etonogestrel</t>
        </is>
      </c>
      <c r="C576" t="inlineStr">
        <is>
          <t>Indicated for the prevention of pregnancy for up to 3 years</t>
        </is>
      </c>
      <c r="D576" t="inlineStr">
        <is>
          <t>Reimburse with clinical criteria and/or conditions</t>
        </is>
      </c>
      <c r="E576" t="inlineStr">
        <is>
          <t>Active</t>
        </is>
      </c>
      <c r="F576" s="3">
        <v>43985</v>
      </c>
      <c r="G576" s="3">
        <v>44124</v>
      </c>
      <c r="H576" t="inlineStr">
        <is>
          <t>SR0648-000</t>
        </is>
      </c>
      <c r="N576" t="inlineStr">
        <is>
          <t>Merck Canada Inc.</t>
        </is>
      </c>
      <c r="Q576" t="inlineStr">
        <is>
          <t>Initial</t>
        </is>
      </c>
    </row>
    <row r="577">
      <c r="A577" s="2">
        <f>HYPERLINK("https://www.cadth.ca/nitisinone-1", "Nitisinone")</f>
        <v>0</v>
      </c>
      <c r="B577" t="inlineStr">
        <is>
          <t>nitisinone</t>
        </is>
      </c>
      <c r="C577" t="inlineStr">
        <is>
          <t>Hereditary tyrosinemia type 1</t>
        </is>
      </c>
      <c r="D577" t="inlineStr">
        <is>
          <t>Reimburse with clinical criteria and/or conditions</t>
        </is>
      </c>
      <c r="E577" t="inlineStr">
        <is>
          <t>Complete</t>
        </is>
      </c>
      <c r="F577" s="3">
        <v>43125</v>
      </c>
      <c r="G577" s="3">
        <v>43335</v>
      </c>
      <c r="H577" t="inlineStr">
        <is>
          <t>SR0554-000</t>
        </is>
      </c>
      <c r="N577" t="inlineStr">
        <is>
          <t>Cycle Pharmaceuticals Ltd.</t>
        </is>
      </c>
      <c r="Q577" t="inlineStr">
        <is>
          <t>Initial</t>
        </is>
      </c>
    </row>
    <row r="578">
      <c r="A578" s="2">
        <f>HYPERLINK("https://www.cadth.ca/quinagolide-hydrochloride-12", "Norprolac")</f>
        <v>0</v>
      </c>
      <c r="B578" t="inlineStr">
        <is>
          <t>Quinagolide hydrochloride</t>
        </is>
      </c>
      <c r="C578" t="inlineStr">
        <is>
          <t>Hyperprolactinemia</t>
        </is>
      </c>
      <c r="D578" t="inlineStr">
        <is>
          <t>List with clinical criteria and/or conditions</t>
        </is>
      </c>
      <c r="E578" t="inlineStr">
        <is>
          <t>Complete</t>
        </is>
      </c>
      <c r="F578" s="3">
        <v>38679</v>
      </c>
      <c r="G578" s="3">
        <v>38854</v>
      </c>
      <c r="H578" t="inlineStr">
        <is>
          <t>S0046</t>
        </is>
      </c>
      <c r="N578" t="inlineStr">
        <is>
          <t>Ferring Pharmaceuticals</t>
        </is>
      </c>
      <c r="Q578" t="inlineStr">
        <is>
          <t>Resubmission</t>
        </is>
      </c>
    </row>
    <row r="579">
      <c r="A579" s="2">
        <f>HYPERLINK("https://www.cadth.ca/quinagolide-hydrochloride-10", "Norprolac")</f>
        <v>0</v>
      </c>
      <c r="B579" t="inlineStr">
        <is>
          <t>Quinagolide hydrochloride</t>
        </is>
      </c>
      <c r="C579" t="inlineStr">
        <is>
          <t>Hyperprolactinemia</t>
        </is>
      </c>
      <c r="D579" t="inlineStr">
        <is>
          <t>Do not list</t>
        </is>
      </c>
      <c r="E579" t="inlineStr">
        <is>
          <t>Complete</t>
        </is>
      </c>
      <c r="F579" s="3">
        <v>38337</v>
      </c>
      <c r="G579" s="3">
        <v>38623</v>
      </c>
      <c r="H579" t="inlineStr">
        <is>
          <t>S0026</t>
        </is>
      </c>
      <c r="N579" t="inlineStr">
        <is>
          <t>Ferring Pharmaceuticals</t>
        </is>
      </c>
      <c r="Q579" t="inlineStr">
        <is>
          <t>Initial</t>
        </is>
      </c>
    </row>
    <row r="580">
      <c r="A580" s="2">
        <f>HYPERLINK("https://www.cadth.ca/romiplostim-6", "Nplate")</f>
        <v>0</v>
      </c>
      <c r="B580" t="inlineStr">
        <is>
          <t>Romiplostim</t>
        </is>
      </c>
      <c r="C580" t="inlineStr">
        <is>
          <t>Chronic immune (idiopathic) thrombocytopenic purpura (ITP)</t>
        </is>
      </c>
      <c r="D580" t="inlineStr">
        <is>
          <t>Do not list</t>
        </is>
      </c>
      <c r="E580" t="inlineStr">
        <is>
          <t>Complete</t>
        </is>
      </c>
      <c r="F580" s="3">
        <v>40085</v>
      </c>
      <c r="G580" s="3">
        <v>40325</v>
      </c>
      <c r="H580" t="inlineStr">
        <is>
          <t>S0179</t>
        </is>
      </c>
      <c r="N580" t="inlineStr">
        <is>
          <t>Amgen Canada Inc.</t>
        </is>
      </c>
      <c r="Q580" t="inlineStr">
        <is>
          <t>Initial</t>
        </is>
      </c>
    </row>
    <row r="581">
      <c r="A581" s="2">
        <f>HYPERLINK("https://www.cadth.ca/mepolizumab-0", "Nucala")</f>
        <v>0</v>
      </c>
      <c r="B581" t="inlineStr">
        <is>
          <t>mepolizumab</t>
        </is>
      </c>
      <c r="C581" t="inlineStr">
        <is>
          <t>Asthma, severe eosinophilic</t>
        </is>
      </c>
      <c r="D581" t="inlineStr">
        <is>
          <t>Reimburse with clinical criteria and/or conditions</t>
        </is>
      </c>
      <c r="E581" t="inlineStr">
        <is>
          <t>Complete</t>
        </is>
      </c>
      <c r="F581" s="3">
        <v>43397</v>
      </c>
      <c r="G581" s="3">
        <v>43551</v>
      </c>
      <c r="H581" t="inlineStr">
        <is>
          <t>SF0593-000</t>
        </is>
      </c>
      <c r="N581" t="inlineStr">
        <is>
          <t>GlaxoSmithKline Inc.</t>
        </is>
      </c>
      <c r="Q581" t="inlineStr">
        <is>
          <t>Request For Advice</t>
        </is>
      </c>
    </row>
    <row r="582">
      <c r="A582" s="2">
        <f>HYPERLINK("https://www.cadth.ca/mepolizumab", "Nucala")</f>
        <v>0</v>
      </c>
      <c r="B582" t="inlineStr">
        <is>
          <t>Mepolizumab</t>
        </is>
      </c>
      <c r="C582" t="inlineStr">
        <is>
          <t>Asthma, severe eosinophilic</t>
        </is>
      </c>
      <c r="D582" t="inlineStr">
        <is>
          <t>Reimburse with clinical criteria and/or conditions</t>
        </is>
      </c>
      <c r="E582" t="inlineStr">
        <is>
          <t>Complete</t>
        </is>
      </c>
      <c r="F582" s="3">
        <v>42356</v>
      </c>
      <c r="G582" s="3">
        <v>42537</v>
      </c>
      <c r="H582" t="inlineStr">
        <is>
          <t>SR0461-000</t>
        </is>
      </c>
      <c r="N582" t="inlineStr">
        <is>
          <t>GlaxoSmithKline Inc.</t>
        </is>
      </c>
      <c r="Q582" t="inlineStr">
        <is>
          <t>Initial</t>
        </is>
      </c>
    </row>
    <row r="583">
      <c r="A583" s="2">
        <f>HYPERLINK("https://www.cadth.ca/tapentadol-hydrochloride", "Nucynta")</f>
        <v>0</v>
      </c>
      <c r="B583" t="inlineStr">
        <is>
          <t>tapentadol hydrochloride</t>
        </is>
      </c>
      <c r="C583" t="inlineStr">
        <is>
          <t>pain, severe</t>
        </is>
      </c>
      <c r="D583" t="inlineStr">
        <is>
          <t>Do not reimburse</t>
        </is>
      </c>
      <c r="E583" t="inlineStr">
        <is>
          <t>Complete</t>
        </is>
      </c>
      <c r="F583" s="3">
        <v>43207</v>
      </c>
      <c r="G583" s="3">
        <v>43396</v>
      </c>
      <c r="H583" t="inlineStr">
        <is>
          <t>SR0563-000</t>
        </is>
      </c>
      <c r="N583" t="inlineStr">
        <is>
          <t>Paladin Labs Inc.</t>
        </is>
      </c>
      <c r="Q583" t="inlineStr">
        <is>
          <t>New Indication</t>
        </is>
      </c>
    </row>
    <row r="584">
      <c r="A584" s="2">
        <f>HYPERLINK("https://www.cadth.ca/etonogestrelethinyl-estradiol-6", "NuvaRing")</f>
        <v>0</v>
      </c>
      <c r="B584" t="inlineStr">
        <is>
          <t>Etonogestrel/ethinyl estradiol</t>
        </is>
      </c>
      <c r="C584" t="inlineStr">
        <is>
          <t>Contraceptive, ring</t>
        </is>
      </c>
      <c r="D584" t="inlineStr">
        <is>
          <t>List with clinical criteria and/or conditions</t>
        </is>
      </c>
      <c r="E584" t="inlineStr">
        <is>
          <t>Complete</t>
        </is>
      </c>
      <c r="F584" s="3">
        <v>38842</v>
      </c>
      <c r="G584" s="3">
        <v>39050</v>
      </c>
      <c r="H584" t="inlineStr">
        <is>
          <t>S0062</t>
        </is>
      </c>
      <c r="N584" t="inlineStr">
        <is>
          <t>Organon Canada Ltd.</t>
        </is>
      </c>
      <c r="Q584" t="inlineStr">
        <is>
          <t>Initial</t>
        </is>
      </c>
    </row>
    <row r="585">
      <c r="A585" s="2">
        <f>HYPERLINK("https://www.cadth.ca/obeticholic-acid", "Ocaliva")</f>
        <v>0</v>
      </c>
      <c r="B585" t="inlineStr">
        <is>
          <t>Obeticholic Acid</t>
        </is>
      </c>
      <c r="C585" t="inlineStr">
        <is>
          <t>Primary biliary cholangitis</t>
        </is>
      </c>
      <c r="D585" t="inlineStr">
        <is>
          <t>Reimburse with clinical criteria and/or conditions</t>
        </is>
      </c>
      <c r="E585" t="inlineStr">
        <is>
          <t>Complete</t>
        </is>
      </c>
      <c r="F585" s="3">
        <v>42726</v>
      </c>
      <c r="G585" s="3">
        <v>42941</v>
      </c>
      <c r="H585" t="inlineStr">
        <is>
          <t>SR0509-000</t>
        </is>
      </c>
      <c r="N585" t="inlineStr">
        <is>
          <t>Intercept Pharma Canada, Inc.</t>
        </is>
      </c>
      <c r="Q585" t="inlineStr">
        <is>
          <t>Initial</t>
        </is>
      </c>
    </row>
    <row r="586">
      <c r="A586" s="2">
        <f>HYPERLINK("https://www.cadth.ca/ocrelizumab", "Ocrevus")</f>
        <v>0</v>
      </c>
      <c r="B586" t="inlineStr">
        <is>
          <t>ocrelizumab</t>
        </is>
      </c>
      <c r="C586" t="inlineStr">
        <is>
          <t>multiple sclerosis, relapsing</t>
        </is>
      </c>
      <c r="D586" t="inlineStr">
        <is>
          <t>Reimburse with clinical criteria and/or conditions</t>
        </is>
      </c>
      <c r="E586" t="inlineStr">
        <is>
          <t>Complete</t>
        </is>
      </c>
      <c r="F586" s="3">
        <v>42871</v>
      </c>
      <c r="G586" s="3">
        <v>43060</v>
      </c>
      <c r="H586" t="inlineStr">
        <is>
          <t>SR0519-000</t>
        </is>
      </c>
      <c r="N586" t="inlineStr">
        <is>
          <t>Hoffman-La Roche Limited</t>
        </is>
      </c>
      <c r="Q586" t="inlineStr">
        <is>
          <t>Initial</t>
        </is>
      </c>
    </row>
    <row r="587">
      <c r="A587" s="2">
        <f>HYPERLINK("https://www.cadth.ca/ocrelizumab-0", "Ocrevus")</f>
        <v>0</v>
      </c>
      <c r="B587" t="inlineStr">
        <is>
          <t>ocrelizumab</t>
        </is>
      </c>
      <c r="C587" t="inlineStr">
        <is>
          <t>Primary progressive multiple sclerosis</t>
        </is>
      </c>
      <c r="D587" t="inlineStr">
        <is>
          <t>Reimburse with clinical criteria and/or conditions</t>
        </is>
      </c>
      <c r="E587" t="inlineStr">
        <is>
          <t>Complete</t>
        </is>
      </c>
      <c r="F587" s="3">
        <v>43034</v>
      </c>
      <c r="G587" s="3">
        <v>43216</v>
      </c>
      <c r="H587" t="inlineStr">
        <is>
          <t>SR0542-000</t>
        </is>
      </c>
      <c r="N587" t="inlineStr">
        <is>
          <t>Hoffman-La Roche Limited</t>
        </is>
      </c>
      <c r="Q587" t="inlineStr">
        <is>
          <t>New Indication</t>
        </is>
      </c>
    </row>
    <row r="588">
      <c r="A588" s="2">
        <f>HYPERLINK("https://www.cadth.ca/emtricitabinerilpivirine-tenofovir-alafenamide", "Odefsey")</f>
        <v>0</v>
      </c>
      <c r="B588" t="inlineStr">
        <is>
          <t>emtricitabine/rilpivirine/ tenofovir alafenamide</t>
        </is>
      </c>
      <c r="C588" t="inlineStr">
        <is>
          <t>HIV-1 infection</t>
        </is>
      </c>
      <c r="D588" t="inlineStr">
        <is>
          <t>Reimburse with clinical criteria and/or conditions</t>
        </is>
      </c>
      <c r="E588" t="inlineStr">
        <is>
          <t>Complete</t>
        </is>
      </c>
      <c r="F588" s="3">
        <v>42698</v>
      </c>
      <c r="G588" s="3">
        <v>42880</v>
      </c>
      <c r="H588" t="inlineStr">
        <is>
          <t>SR0507-000</t>
        </is>
      </c>
      <c r="N588" t="inlineStr">
        <is>
          <t>Gilead Sciences Canada, Inc.</t>
        </is>
      </c>
      <c r="Q588" t="inlineStr">
        <is>
          <t>Initial</t>
        </is>
      </c>
    </row>
    <row r="589">
      <c r="A589" s="2">
        <f>HYPERLINK("https://www.cadth.ca/nintedanib-0", "Ofev")</f>
        <v>0</v>
      </c>
      <c r="B589" t="inlineStr">
        <is>
          <t>nintedanib</t>
        </is>
      </c>
      <c r="C589" t="inlineStr">
        <is>
          <t>Treatment of other chronic fibrosing interstitial lung diseases (ILDs) with a progressive phenotype (also known as progressive fibrosing ILD)</t>
        </is>
      </c>
      <c r="E589" t="inlineStr">
        <is>
          <t>Active</t>
        </is>
      </c>
      <c r="F589" s="3">
        <v>44036</v>
      </c>
      <c r="H589" t="inlineStr">
        <is>
          <t>SR0654-000</t>
        </is>
      </c>
      <c r="N589" t="inlineStr">
        <is>
          <t>Boehringer Ingelheim (Canada) Ltd.</t>
        </is>
      </c>
      <c r="Q589" t="inlineStr">
        <is>
          <t>Initial</t>
        </is>
      </c>
    </row>
    <row r="590">
      <c r="A590" s="2">
        <f>HYPERLINK("https://www.cadth.ca/nintedanib", "Ofev")</f>
        <v>0</v>
      </c>
      <c r="B590" t="inlineStr">
        <is>
          <t>Nintedanib</t>
        </is>
      </c>
      <c r="C590" t="inlineStr">
        <is>
          <t>Idiopathic pulmonary fibrosis (IPF)</t>
        </is>
      </c>
      <c r="D590" t="inlineStr">
        <is>
          <t>List with clinical criteria and/or conditions</t>
        </is>
      </c>
      <c r="E590" t="inlineStr">
        <is>
          <t>Complete</t>
        </is>
      </c>
      <c r="F590" s="3">
        <v>42117</v>
      </c>
      <c r="G590" s="3">
        <v>42292</v>
      </c>
      <c r="H590" t="inlineStr">
        <is>
          <t>SR0426-000</t>
        </is>
      </c>
      <c r="N590" t="inlineStr">
        <is>
          <t>Boehringer Ingelheim (Canada) Ltd.</t>
        </is>
      </c>
      <c r="Q590" t="inlineStr">
        <is>
          <t>Pre-NOC</t>
        </is>
      </c>
    </row>
    <row r="591">
      <c r="A591" s="2">
        <f>HYPERLINK("https://www.cadth.ca/olmesartan-medoxomil-6", "Olmetec")</f>
        <v>0</v>
      </c>
      <c r="B591" t="inlineStr">
        <is>
          <t>Olmesartan medoxomil</t>
        </is>
      </c>
      <c r="C591" t="inlineStr">
        <is>
          <t>Hypertension</t>
        </is>
      </c>
      <c r="D591" t="inlineStr">
        <is>
          <t>List in a similar manner to other drugs in class</t>
        </is>
      </c>
      <c r="E591" t="inlineStr">
        <is>
          <t>Complete</t>
        </is>
      </c>
      <c r="F591" s="3">
        <v>39780</v>
      </c>
      <c r="G591" s="3">
        <v>39960</v>
      </c>
      <c r="H591" t="inlineStr">
        <is>
          <t>S0150</t>
        </is>
      </c>
      <c r="N591" t="inlineStr">
        <is>
          <t>Schering-Plough Canada Inc.</t>
        </is>
      </c>
      <c r="Q591" t="inlineStr">
        <is>
          <t>Initial</t>
        </is>
      </c>
    </row>
    <row r="592">
      <c r="A592" s="2">
        <f>HYPERLINK("https://www.cadth.ca/olmesartan-medoxomil-hydrochlorothiazide-6", "Olmetec Plus")</f>
        <v>0</v>
      </c>
      <c r="B592" t="inlineStr">
        <is>
          <t>Olmesartan medoxomil + hydrochlorothiazide</t>
        </is>
      </c>
      <c r="C592" t="inlineStr">
        <is>
          <t>Hypertension</t>
        </is>
      </c>
      <c r="D592" t="inlineStr">
        <is>
          <t>List in a similar manner to other drugs in class</t>
        </is>
      </c>
      <c r="E592" t="inlineStr">
        <is>
          <t>Complete</t>
        </is>
      </c>
      <c r="F592" s="3">
        <v>39780</v>
      </c>
      <c r="G592" s="3">
        <v>39960</v>
      </c>
      <c r="H592" t="inlineStr">
        <is>
          <t>S0151</t>
        </is>
      </c>
      <c r="N592" t="inlineStr">
        <is>
          <t>Schering-Plough Canada Inc.</t>
        </is>
      </c>
      <c r="Q592" t="inlineStr">
        <is>
          <t>Initial</t>
        </is>
      </c>
    </row>
    <row r="593">
      <c r="A593" s="2">
        <f>HYPERLINK("https://www.cadth.ca/baricitinib-0", "Olumiant")</f>
        <v>0</v>
      </c>
      <c r="B593" t="inlineStr">
        <is>
          <t>baricitinib</t>
        </is>
      </c>
      <c r="C593" t="inlineStr">
        <is>
          <t>Arthritis, Rheumatoid</t>
        </is>
      </c>
      <c r="D593" t="inlineStr">
        <is>
          <t>Reimburse with clinical criteria and/or conditions</t>
        </is>
      </c>
      <c r="E593" t="inlineStr">
        <is>
          <t>Complete</t>
        </is>
      </c>
      <c r="F593" s="3">
        <v>43454</v>
      </c>
      <c r="G593" s="3">
        <v>43679</v>
      </c>
      <c r="H593" t="inlineStr">
        <is>
          <t>SR0597-000</t>
        </is>
      </c>
      <c r="N593" t="inlineStr">
        <is>
          <t>Eli Lilly Canada Inc.</t>
        </is>
      </c>
      <c r="Q593" t="inlineStr">
        <is>
          <t>Initial</t>
        </is>
      </c>
    </row>
    <row r="594">
      <c r="A594" s="2">
        <f>HYPERLINK("https://www.cadth.ca/ciclesonide-nasal-spray-6", "Omnaris")</f>
        <v>0</v>
      </c>
      <c r="B594" t="inlineStr">
        <is>
          <t>Ciclesonide nasal spray</t>
        </is>
      </c>
      <c r="C594" t="inlineStr">
        <is>
          <t>Allergic Rhinitis (seasonal and perennial)</t>
        </is>
      </c>
      <c r="D594" t="inlineStr">
        <is>
          <t>Do not list</t>
        </is>
      </c>
      <c r="E594" t="inlineStr">
        <is>
          <t>Complete</t>
        </is>
      </c>
      <c r="F594" s="3">
        <v>39575</v>
      </c>
      <c r="G594" s="3">
        <v>39764</v>
      </c>
      <c r="H594" t="inlineStr">
        <is>
          <t>S0137</t>
        </is>
      </c>
      <c r="N594" t="inlineStr">
        <is>
          <t>Nycomed Canada Inc.</t>
        </is>
      </c>
      <c r="Q594" t="inlineStr">
        <is>
          <t>Initial</t>
        </is>
      </c>
    </row>
    <row r="595">
      <c r="A595" s="2">
        <f>HYPERLINK("https://www.cadth.ca/somatropin-rdna-origin-6", "Omnitrope")</f>
        <v>0</v>
      </c>
      <c r="B595" t="inlineStr">
        <is>
          <t>Somatropin (rDNA origin)</t>
        </is>
      </c>
      <c r="C595" t="inlineStr">
        <is>
          <t>Growth hormone deficiency in children and adults</t>
        </is>
      </c>
      <c r="E595" t="inlineStr">
        <is>
          <t>Complete</t>
        </is>
      </c>
      <c r="F595" s="3">
        <v>39976</v>
      </c>
      <c r="H595" t="inlineStr">
        <is>
          <t>S0167</t>
        </is>
      </c>
      <c r="N595" t="inlineStr">
        <is>
          <t>Sandoz Canada Inc.</t>
        </is>
      </c>
      <c r="Q595" t="inlineStr">
        <is>
          <t>Initial</t>
        </is>
      </c>
    </row>
    <row r="596">
      <c r="A596" s="2">
        <f>HYPERLINK("https://www.cadth.ca/indacaterol-6", "Onbrez")</f>
        <v>0</v>
      </c>
      <c r="B596" t="inlineStr">
        <is>
          <t>Indacaterol</t>
        </is>
      </c>
      <c r="C596" t="inlineStr">
        <is>
          <t>Chronic Obstructive Pulmonary Disease (COPD), maintenance bronchodilator treatment</t>
        </is>
      </c>
      <c r="D596" t="inlineStr">
        <is>
          <t>List in a similar manner</t>
        </is>
      </c>
      <c r="E596" t="inlineStr">
        <is>
          <t>Complete</t>
        </is>
      </c>
      <c r="F596" s="3">
        <v>40968</v>
      </c>
      <c r="G596" s="3">
        <v>41137</v>
      </c>
      <c r="H596" t="inlineStr">
        <is>
          <t>SR0273</t>
        </is>
      </c>
      <c r="N596" t="inlineStr">
        <is>
          <t>Novartis Pharmaceuticals Canada Inc.</t>
        </is>
      </c>
      <c r="Q596" t="inlineStr">
        <is>
          <t>Initial</t>
        </is>
      </c>
    </row>
    <row r="597">
      <c r="A597" s="2">
        <f>HYPERLINK("https://www.cadth.ca/saxagliptin-20", "Onglyza")</f>
        <v>0</v>
      </c>
      <c r="B597" t="inlineStr">
        <is>
          <t>Saxagliptin</t>
        </is>
      </c>
      <c r="C597" t="inlineStr">
        <is>
          <t>Diabetes mellitus (Type 2)</t>
        </is>
      </c>
      <c r="D597" t="inlineStr">
        <is>
          <t>List with criteria/condition</t>
        </is>
      </c>
      <c r="E597" t="inlineStr">
        <is>
          <t>Complete</t>
        </is>
      </c>
      <c r="F597" s="3">
        <v>41403</v>
      </c>
      <c r="G597" s="3">
        <v>41593</v>
      </c>
      <c r="H597" t="inlineStr">
        <is>
          <t>SR0329</t>
        </is>
      </c>
      <c r="N597" t="inlineStr">
        <is>
          <t>Bristol-Myers Squibb / AstraZeneca Canada Inc.</t>
        </is>
      </c>
      <c r="Q597" t="inlineStr">
        <is>
          <t>Pre-NOC</t>
        </is>
      </c>
    </row>
    <row r="598">
      <c r="A598" s="2">
        <f>HYPERLINK("https://www.cadth.ca/saxagliptin-17", "Onglyza")</f>
        <v>0</v>
      </c>
      <c r="B598" t="inlineStr">
        <is>
          <t>Saxagliptin</t>
        </is>
      </c>
      <c r="C598" t="inlineStr">
        <is>
          <t>Diabetes mellitus (Type 2)</t>
        </is>
      </c>
      <c r="D598" t="inlineStr">
        <is>
          <t>Do not list</t>
        </is>
      </c>
      <c r="E598" t="inlineStr">
        <is>
          <t>Complete</t>
        </is>
      </c>
      <c r="F598" s="3">
        <v>40126</v>
      </c>
      <c r="G598" s="3">
        <v>40346</v>
      </c>
      <c r="H598" t="inlineStr">
        <is>
          <t>S0185</t>
        </is>
      </c>
      <c r="N598" t="inlineStr">
        <is>
          <t>Bristol-Myers Squibb Canada</t>
        </is>
      </c>
      <c r="Q598" t="inlineStr">
        <is>
          <t>Initial</t>
        </is>
      </c>
    </row>
    <row r="599">
      <c r="A599" s="2">
        <f>HYPERLINK("https://www.cadth.ca/saxagliptin-19", "Onglyza")</f>
        <v>0</v>
      </c>
      <c r="B599" t="inlineStr">
        <is>
          <t>Saxagliptin</t>
        </is>
      </c>
      <c r="C599" t="inlineStr">
        <is>
          <t>Diabetes mellitus (Type 2)</t>
        </is>
      </c>
      <c r="E599" t="inlineStr">
        <is>
          <t>Withdrawn</t>
        </is>
      </c>
      <c r="F599" s="3">
        <v>41057</v>
      </c>
      <c r="H599" t="inlineStr">
        <is>
          <t>SR0280</t>
        </is>
      </c>
      <c r="N599" t="inlineStr">
        <is>
          <t>Bristol-Myers Squibb / AstraZeneca Canada Inc.</t>
        </is>
      </c>
      <c r="Q599" t="inlineStr">
        <is>
          <t>Resubmission</t>
        </is>
      </c>
    </row>
    <row r="600">
      <c r="A600" s="2">
        <f>HYPERLINK("https://www.cadth.ca/patisiran", "Onpattro")</f>
        <v>0</v>
      </c>
      <c r="B600" t="inlineStr">
        <is>
          <t>patisiran</t>
        </is>
      </c>
      <c r="C600" t="inlineStr">
        <is>
          <t>Polyneuropathy in hereditary transthyretin-mediated amyloidosis</t>
        </is>
      </c>
      <c r="D600" t="inlineStr">
        <is>
          <t>Reimburse with clinical criteria and/or conditions</t>
        </is>
      </c>
      <c r="E600" t="inlineStr">
        <is>
          <t>Complete</t>
        </is>
      </c>
      <c r="F600" s="3">
        <v>43490</v>
      </c>
      <c r="G600" s="3">
        <v>43671</v>
      </c>
      <c r="H600" t="inlineStr">
        <is>
          <t>SR0598-000</t>
        </is>
      </c>
      <c r="N600" t="inlineStr">
        <is>
          <t>Alnylam Netherlands BV</t>
        </is>
      </c>
      <c r="Q600" t="inlineStr">
        <is>
          <t>Initial</t>
        </is>
      </c>
    </row>
    <row r="601">
      <c r="A601" s="2">
        <f>HYPERLINK("https://www.cadth.ca/fentanyl-citrate-16", "Onsolis")</f>
        <v>0</v>
      </c>
      <c r="B601" t="inlineStr">
        <is>
          <t>Fentanyl Citrate</t>
        </is>
      </c>
      <c r="C601" t="inlineStr">
        <is>
          <t>Pain (breakthrough), cancer (adults)</t>
        </is>
      </c>
      <c r="E601" t="inlineStr">
        <is>
          <t>Withdrawn</t>
        </is>
      </c>
      <c r="F601" s="3">
        <v>40673</v>
      </c>
      <c r="H601" t="inlineStr">
        <is>
          <t>S0229</t>
        </is>
      </c>
      <c r="N601" t="inlineStr">
        <is>
          <t>Meda Valeant Pharma Canada Inc.</t>
        </is>
      </c>
      <c r="Q601" t="inlineStr">
        <is>
          <t>Initial</t>
        </is>
      </c>
    </row>
    <row r="602">
      <c r="A602" s="2">
        <f>HYPERLINK("https://www.cadth.ca/fentanyl-citrate-20", "Onsolis")</f>
        <v>0</v>
      </c>
      <c r="B602" t="inlineStr">
        <is>
          <t>Fentanyl Citrate</t>
        </is>
      </c>
      <c r="C602" t="inlineStr">
        <is>
          <t>Pain (breakthrough), cancer (adults)</t>
        </is>
      </c>
      <c r="D602" t="inlineStr">
        <is>
          <t>Do not list</t>
        </is>
      </c>
      <c r="E602" t="inlineStr">
        <is>
          <t>Complete</t>
        </is>
      </c>
      <c r="F602" s="3">
        <v>40777</v>
      </c>
      <c r="G602" s="3">
        <v>40954</v>
      </c>
      <c r="H602" t="inlineStr">
        <is>
          <t>S0248</t>
        </is>
      </c>
      <c r="N602" t="inlineStr">
        <is>
          <t>Meda Valeant Pharma Canada Inc.</t>
        </is>
      </c>
      <c r="Q602" t="inlineStr">
        <is>
          <t>Resubmission</t>
        </is>
      </c>
    </row>
    <row r="603">
      <c r="A603" s="2">
        <f>HYPERLINK("https://www.cadth.ca/safinamide", "Onstryv")</f>
        <v>0</v>
      </c>
      <c r="B603" t="inlineStr">
        <is>
          <t>safinamide</t>
        </is>
      </c>
      <c r="C603" t="inlineStr">
        <is>
          <t>Parkinson's disease</t>
        </is>
      </c>
      <c r="D603" t="inlineStr">
        <is>
          <t>Do not reimburse</t>
        </is>
      </c>
      <c r="E603" t="inlineStr">
        <is>
          <t>Complete</t>
        </is>
      </c>
      <c r="F603" s="3">
        <v>43614</v>
      </c>
      <c r="G603" s="3">
        <v>43915</v>
      </c>
      <c r="H603" t="inlineStr">
        <is>
          <t>SR0617-000</t>
        </is>
      </c>
      <c r="N603" t="inlineStr">
        <is>
          <t>Valeo Pharma Inc.</t>
        </is>
      </c>
      <c r="Q603" t="inlineStr">
        <is>
          <t>Initial</t>
        </is>
      </c>
    </row>
    <row r="604">
      <c r="A604" s="2">
        <f>HYPERLINK("https://www.cadth.ca/nivolumab-ipilimumab", "Opdivo-Yervoy")</f>
        <v>0</v>
      </c>
      <c r="B604" t="inlineStr">
        <is>
          <t>Nivolumab-Ipilimumab</t>
        </is>
      </c>
      <c r="C604" t="inlineStr">
        <is>
          <t>​OPDIVO, in combination with ipilimumab, is indicated for the first-line treatment of adult patients with unresectable malignant pleural mesothelioma.</t>
        </is>
      </c>
      <c r="E604" t="inlineStr">
        <is>
          <t>Received</t>
        </is>
      </c>
      <c r="F604" s="3">
        <v>44133</v>
      </c>
      <c r="H604" t="inlineStr">
        <is>
          <t>PC0229-000</t>
        </is>
      </c>
      <c r="N604" t="inlineStr">
        <is>
          <t>Bristol-Myers Squibb</t>
        </is>
      </c>
      <c r="Q604" t="inlineStr">
        <is>
          <t>Initial</t>
        </is>
      </c>
    </row>
    <row r="605">
      <c r="A605" s="2">
        <f>HYPERLINK("https://www.cadth.ca/macitentan-4", "Opsumit")</f>
        <v>0</v>
      </c>
      <c r="B605" t="inlineStr">
        <is>
          <t>Macitentan</t>
        </is>
      </c>
      <c r="C605" t="inlineStr">
        <is>
          <t>Pulmonary arterial hypertension</t>
        </is>
      </c>
      <c r="D605" t="inlineStr">
        <is>
          <t>List with clinical criteria and/or conditions</t>
        </is>
      </c>
      <c r="E605" t="inlineStr">
        <is>
          <t>Complete</t>
        </is>
      </c>
      <c r="F605" s="3">
        <v>42356</v>
      </c>
      <c r="G605" s="3">
        <v>42032</v>
      </c>
      <c r="H605" t="inlineStr">
        <is>
          <t>SR0364</t>
        </is>
      </c>
      <c r="N605" t="inlineStr">
        <is>
          <t>Actelion Pharmaceuticals Canada Inc.</t>
        </is>
      </c>
      <c r="Q605" t="inlineStr">
        <is>
          <t>Initial</t>
        </is>
      </c>
    </row>
    <row r="606">
      <c r="A606" s="2">
        <f>HYPERLINK("https://www.cadth.ca/grass-pollen-allergen-extract-6", "Oralair")</f>
        <v>0</v>
      </c>
      <c r="B606" t="inlineStr">
        <is>
          <t>Grass Pollen Allergen Extract</t>
        </is>
      </c>
      <c r="C606" t="inlineStr">
        <is>
          <t>Allergic rhinitis (grass pollen)</t>
        </is>
      </c>
      <c r="D606" t="inlineStr">
        <is>
          <t>List with criteria/condition</t>
        </is>
      </c>
      <c r="E606" t="inlineStr">
        <is>
          <t>Complete</t>
        </is>
      </c>
      <c r="F606" s="3">
        <v>41173</v>
      </c>
      <c r="G606" s="3">
        <v>41353</v>
      </c>
      <c r="H606" t="inlineStr">
        <is>
          <t>SR0290</t>
        </is>
      </c>
      <c r="N606" t="inlineStr">
        <is>
          <t>Paladin Labs Inc.</t>
        </is>
      </c>
      <c r="Q606" t="inlineStr">
        <is>
          <t>Initial</t>
        </is>
      </c>
    </row>
    <row r="607">
      <c r="A607" s="2">
        <f>HYPERLINK("https://www.cadth.ca/abatacept-27", "Orencia")</f>
        <v>0</v>
      </c>
      <c r="B607" t="inlineStr">
        <is>
          <t>Abatacept</t>
        </is>
      </c>
      <c r="C607" t="inlineStr">
        <is>
          <t>Arthritis, Rheumatoid</t>
        </is>
      </c>
      <c r="D607" t="inlineStr">
        <is>
          <t>List with clinical criteria and/or conditions</t>
        </is>
      </c>
      <c r="E607" t="inlineStr">
        <is>
          <t>Complete</t>
        </is>
      </c>
      <c r="F607" s="3">
        <v>39016</v>
      </c>
      <c r="G607" s="3">
        <v>39260</v>
      </c>
      <c r="H607" t="inlineStr">
        <is>
          <t>S0084</t>
        </is>
      </c>
      <c r="N607" t="inlineStr">
        <is>
          <t>Bristol-Myers Squibb Canada</t>
        </is>
      </c>
      <c r="Q607" t="inlineStr">
        <is>
          <t>Initial</t>
        </is>
      </c>
    </row>
    <row r="608">
      <c r="A608" s="2">
        <f>HYPERLINK("https://www.cadth.ca/abatacept-29", "Orencia")</f>
        <v>0</v>
      </c>
      <c r="B608" t="inlineStr">
        <is>
          <t>Abatacept</t>
        </is>
      </c>
      <c r="C608" t="inlineStr">
        <is>
          <t>Arthritis, Rheumatoid</t>
        </is>
      </c>
      <c r="D608" t="inlineStr">
        <is>
          <t>List in a similar manner</t>
        </is>
      </c>
      <c r="E608" t="inlineStr">
        <is>
          <t>Complete</t>
        </is>
      </c>
      <c r="F608" s="3">
        <v>40149</v>
      </c>
      <c r="G608" s="3">
        <v>40346</v>
      </c>
      <c r="H608" t="inlineStr">
        <is>
          <t>S0187</t>
        </is>
      </c>
      <c r="N608" t="inlineStr">
        <is>
          <t>Bristol-Myers Squibb Canada</t>
        </is>
      </c>
      <c r="Q608" t="inlineStr">
        <is>
          <t>Resubmission</t>
        </is>
      </c>
    </row>
    <row r="609">
      <c r="A609" s="2">
        <f>HYPERLINK("https://www.cadth.ca/abatacept-30", "Orencia")</f>
        <v>0</v>
      </c>
      <c r="B609" t="inlineStr">
        <is>
          <t>Abatacept</t>
        </is>
      </c>
      <c r="C609" t="inlineStr">
        <is>
          <t>Arthritis, Rheumatoid</t>
        </is>
      </c>
      <c r="D609" t="inlineStr">
        <is>
          <t>List with clinical criteria and/or conditions</t>
        </is>
      </c>
      <c r="E609" t="inlineStr">
        <is>
          <t>Complete</t>
        </is>
      </c>
      <c r="F609" s="3">
        <v>41242</v>
      </c>
      <c r="G609" s="3">
        <v>41473</v>
      </c>
      <c r="H609" t="inlineStr">
        <is>
          <t>SR0299</t>
        </is>
      </c>
      <c r="N609" t="inlineStr">
        <is>
          <t>Bristol-Myers Squibb Canada</t>
        </is>
      </c>
      <c r="Q609" t="inlineStr">
        <is>
          <t>Pre-NOC</t>
        </is>
      </c>
    </row>
    <row r="610">
      <c r="A610" s="2">
        <f>HYPERLINK("https://www.cadth.ca/abatacept-28", "Orencia")</f>
        <v>0</v>
      </c>
      <c r="B610" t="inlineStr">
        <is>
          <t>Abatacept</t>
        </is>
      </c>
      <c r="C610" t="inlineStr">
        <is>
          <t>Arthritis, Juvenile Idiopathic &amp; Juvenile Rheumatoid</t>
        </is>
      </c>
      <c r="D610" t="inlineStr">
        <is>
          <t>List with clinical criteria and/or conditions</t>
        </is>
      </c>
      <c r="E610" t="inlineStr">
        <is>
          <t>Complete</t>
        </is>
      </c>
      <c r="F610" s="3">
        <v>39689</v>
      </c>
      <c r="G610" s="3">
        <v>39925</v>
      </c>
      <c r="H610" t="inlineStr">
        <is>
          <t>S0145</t>
        </is>
      </c>
      <c r="N610" t="inlineStr">
        <is>
          <t>Bristol-Myers Squibb Canada</t>
        </is>
      </c>
      <c r="Q610" t="inlineStr">
        <is>
          <t>New Indication</t>
        </is>
      </c>
    </row>
    <row r="611">
      <c r="A611" s="2">
        <f>HYPERLINK("https://www.cadth.ca/nitisinone", "Orfadin")</f>
        <v>0</v>
      </c>
      <c r="B611" t="inlineStr">
        <is>
          <t>nitisinone</t>
        </is>
      </c>
      <c r="C611" t="inlineStr">
        <is>
          <t>Hereditary tyrosinemia type 1</t>
        </is>
      </c>
      <c r="D611" t="inlineStr">
        <is>
          <t>Reimburse with clinical criteria and/or conditions</t>
        </is>
      </c>
      <c r="E611" t="inlineStr">
        <is>
          <t>Complete</t>
        </is>
      </c>
      <c r="F611" s="3">
        <v>42976</v>
      </c>
      <c r="G611" s="3">
        <v>43152</v>
      </c>
      <c r="H611" t="inlineStr">
        <is>
          <t>SR0531-000</t>
        </is>
      </c>
      <c r="N611" t="inlineStr">
        <is>
          <t>Sobi Canada Inc.</t>
        </is>
      </c>
      <c r="Q611" t="inlineStr">
        <is>
          <t>Initial</t>
        </is>
      </c>
    </row>
    <row r="612">
      <c r="A612" s="2">
        <f>HYPERLINK("https://www.cadth.ca/orilissa-elagolix", "Orilissa")</f>
        <v>0</v>
      </c>
      <c r="B612" t="inlineStr">
        <is>
          <t>elagolix</t>
        </is>
      </c>
      <c r="C612" t="inlineStr">
        <is>
          <t>Moderate to severe pain associated with endometriosis</t>
        </is>
      </c>
      <c r="D612" t="inlineStr">
        <is>
          <t>CADTH is unable to recommend reimbursement as a submission was not filed by the manufacturer</t>
        </is>
      </c>
      <c r="E612" t="inlineStr">
        <is>
          <t>NotFiled</t>
        </is>
      </c>
      <c r="N612" t="inlineStr">
        <is>
          <t>AbbVie Corporation</t>
        </is>
      </c>
      <c r="Q612" t="inlineStr">
        <is>
          <t>Non-submission</t>
        </is>
      </c>
    </row>
    <row r="613">
      <c r="A613" s="2">
        <f>HYPERLINK("https://www.cadth.ca/lumacaftorivacaftor", "Orkambi")</f>
        <v>0</v>
      </c>
      <c r="B613" t="inlineStr">
        <is>
          <t>lumacaftor/ivacaftor</t>
        </is>
      </c>
      <c r="C613" t="inlineStr">
        <is>
          <t>Cystic Fibrosis, F508del CFTR mutation</t>
        </is>
      </c>
      <c r="D613" t="inlineStr">
        <is>
          <t>Do not reimburse</t>
        </is>
      </c>
      <c r="E613" t="inlineStr">
        <is>
          <t>Complete</t>
        </is>
      </c>
      <c r="F613" s="3">
        <v>42397</v>
      </c>
      <c r="G613" s="3">
        <v>42669</v>
      </c>
      <c r="H613" t="inlineStr">
        <is>
          <t>SR0471-000</t>
        </is>
      </c>
      <c r="N613" t="inlineStr">
        <is>
          <t>Vertex Pharmaceuticals (Canada) Incorporated.</t>
        </is>
      </c>
      <c r="Q613" t="inlineStr">
        <is>
          <t>Initial</t>
        </is>
      </c>
    </row>
    <row r="614">
      <c r="A614" s="2">
        <f>HYPERLINK("https://www.cadth.ca/lumacaftorivacaftor-0", "Orkambi")</f>
        <v>0</v>
      </c>
      <c r="B614" t="inlineStr">
        <is>
          <t>lumacaftor/ivacaftor</t>
        </is>
      </c>
      <c r="C614" t="inlineStr">
        <is>
          <t>Cystic Fibrosis, F508del CFTR mutation in patients 6 years and older</t>
        </is>
      </c>
      <c r="D614" t="inlineStr">
        <is>
          <t>Do not reimburse</t>
        </is>
      </c>
      <c r="E614" t="inlineStr">
        <is>
          <t>Complete</t>
        </is>
      </c>
      <c r="F614" s="3">
        <v>43153</v>
      </c>
      <c r="G614" s="3">
        <v>43369</v>
      </c>
      <c r="H614" t="inlineStr">
        <is>
          <t>SR0559-000</t>
        </is>
      </c>
      <c r="N614" t="inlineStr">
        <is>
          <t>Vertex Pharmaceuticals (Canada) Incorporated</t>
        </is>
      </c>
      <c r="Q614" t="inlineStr">
        <is>
          <t>New Indication</t>
        </is>
      </c>
    </row>
    <row r="615">
      <c r="A615" s="2">
        <f>HYPERLINK("https://www.cadth.ca/apremilast-4", "Otezla")</f>
        <v>0</v>
      </c>
      <c r="B615" t="inlineStr">
        <is>
          <t>Apremilast</t>
        </is>
      </c>
      <c r="C615" t="inlineStr">
        <is>
          <t>Psoriasis, moderate to severe plaque</t>
        </is>
      </c>
      <c r="D615" t="inlineStr">
        <is>
          <t>Do not list</t>
        </is>
      </c>
      <c r="E615" t="inlineStr">
        <is>
          <t>Complete</t>
        </is>
      </c>
      <c r="F615" s="3">
        <v>41920</v>
      </c>
      <c r="G615" s="3">
        <v>42207</v>
      </c>
      <c r="H615" t="inlineStr">
        <is>
          <t>SR0400-000</t>
        </is>
      </c>
      <c r="N615" t="inlineStr">
        <is>
          <t>Celgene</t>
        </is>
      </c>
      <c r="Q615" t="inlineStr">
        <is>
          <t>Initial</t>
        </is>
      </c>
    </row>
    <row r="616">
      <c r="A616" s="2">
        <f>HYPERLINK("https://www.cadth.ca/apremilast-6", "Otezla")</f>
        <v>0</v>
      </c>
      <c r="B616" t="inlineStr">
        <is>
          <t>Apremilast</t>
        </is>
      </c>
      <c r="C616" t="inlineStr">
        <is>
          <t>Psoriasis, moderate to severe plaque</t>
        </is>
      </c>
      <c r="D616" t="inlineStr">
        <is>
          <t>Reimburse with clinical criteria and/or conditions</t>
        </is>
      </c>
      <c r="E616" t="inlineStr">
        <is>
          <t>Complete</t>
        </is>
      </c>
      <c r="F616" s="3">
        <v>42432</v>
      </c>
      <c r="G616" s="3">
        <v>42669</v>
      </c>
      <c r="H616" t="inlineStr">
        <is>
          <t>SR0478-000</t>
        </is>
      </c>
      <c r="N616" t="inlineStr">
        <is>
          <t>Celgene</t>
        </is>
      </c>
      <c r="Q616" t="inlineStr">
        <is>
          <t>Resubmission</t>
        </is>
      </c>
    </row>
    <row r="617">
      <c r="A617" s="2">
        <f>HYPERLINK("https://www.cadth.ca/apremilast-5", "Otezla")</f>
        <v>0</v>
      </c>
      <c r="B617" t="inlineStr">
        <is>
          <t>Apremilast</t>
        </is>
      </c>
      <c r="C617" t="inlineStr">
        <is>
          <t>Arthritis, psoriatic</t>
        </is>
      </c>
      <c r="D617" t="inlineStr">
        <is>
          <t>List with criteria/condition</t>
        </is>
      </c>
      <c r="E617" t="inlineStr">
        <is>
          <t>Complete</t>
        </is>
      </c>
      <c r="F617" s="3">
        <v>42163</v>
      </c>
      <c r="G617" s="3">
        <v>42355</v>
      </c>
      <c r="H617" t="inlineStr">
        <is>
          <t>SR0437-000</t>
        </is>
      </c>
      <c r="N617" t="inlineStr">
        <is>
          <t>Celgene</t>
        </is>
      </c>
      <c r="Q617" t="inlineStr">
        <is>
          <t>New Indication</t>
        </is>
      </c>
    </row>
    <row r="618">
      <c r="A618" s="2">
        <f>HYPERLINK("https://www.cadth.ca/ozenoxacin", "Ozanex")</f>
        <v>0</v>
      </c>
      <c r="B618" t="inlineStr">
        <is>
          <t>ozenoxacin</t>
        </is>
      </c>
      <c r="C618" t="inlineStr">
        <is>
          <t>Impetigo</t>
        </is>
      </c>
      <c r="D618" t="inlineStr">
        <is>
          <t>Do not reimburse</t>
        </is>
      </c>
      <c r="E618" t="inlineStr">
        <is>
          <t>Complete</t>
        </is>
      </c>
      <c r="F618" s="3">
        <v>43125</v>
      </c>
      <c r="G618" s="3">
        <v>43397</v>
      </c>
      <c r="H618" t="inlineStr">
        <is>
          <t>SR0553-000</t>
        </is>
      </c>
      <c r="N618" t="inlineStr">
        <is>
          <t>Ferrer Internacional, S.A.</t>
        </is>
      </c>
      <c r="Q618" t="inlineStr">
        <is>
          <t>Initial</t>
        </is>
      </c>
    </row>
    <row r="619">
      <c r="A619" s="2">
        <f>HYPERLINK("https://www.cadth.ca/semaglutide", "Ozempic")</f>
        <v>0</v>
      </c>
      <c r="B619" t="inlineStr">
        <is>
          <t>semaglutide</t>
        </is>
      </c>
      <c r="C619" t="inlineStr">
        <is>
          <t>Diabetes mellitus, type 2</t>
        </is>
      </c>
      <c r="D619" t="inlineStr">
        <is>
          <t>Reimburse with clinical criteria and/or conditions</t>
        </is>
      </c>
      <c r="E619" t="inlineStr">
        <is>
          <t>Complete</t>
        </is>
      </c>
      <c r="F619" s="3">
        <v>43427</v>
      </c>
      <c r="G619" s="3">
        <v>43600</v>
      </c>
      <c r="H619" t="inlineStr">
        <is>
          <t>SR0594-000</t>
        </is>
      </c>
      <c r="N619" t="inlineStr">
        <is>
          <t>Novo Nordisk Canada Inc.</t>
        </is>
      </c>
      <c r="Q619" t="inlineStr">
        <is>
          <t>Initial</t>
        </is>
      </c>
    </row>
    <row r="620">
      <c r="A620" s="2">
        <f>HYPERLINK("https://www.cadth.ca/dexamethasone-intravitreal-implant-6", "Ozurdex")</f>
        <v>0</v>
      </c>
      <c r="B620" t="inlineStr">
        <is>
          <t>Dexamethasone intravitreal implant</t>
        </is>
      </c>
      <c r="C620" t="inlineStr">
        <is>
          <t>Macular edema following central retinal vein occlusion</t>
        </is>
      </c>
      <c r="D620" t="inlineStr">
        <is>
          <t>Do not list</t>
        </is>
      </c>
      <c r="E620" t="inlineStr">
        <is>
          <t>Complete</t>
        </is>
      </c>
      <c r="F620" s="3">
        <v>40787</v>
      </c>
      <c r="G620" s="3">
        <v>41024</v>
      </c>
      <c r="H620" t="inlineStr">
        <is>
          <t>S0247</t>
        </is>
      </c>
      <c r="N620" t="inlineStr">
        <is>
          <t>Allergan</t>
        </is>
      </c>
      <c r="Q620" t="inlineStr">
        <is>
          <t>Initial</t>
        </is>
      </c>
    </row>
    <row r="621">
      <c r="A621" s="2">
        <f>HYPERLINK("https://www.cadth.ca/dexamethasone", "Ozurdex")</f>
        <v>0</v>
      </c>
      <c r="B621" t="inlineStr">
        <is>
          <t>dexamethasone</t>
        </is>
      </c>
      <c r="C621" t="inlineStr">
        <is>
          <t>Diabetic macular edema</t>
        </is>
      </c>
      <c r="D621" t="inlineStr">
        <is>
          <t>Do not reimburse</t>
        </is>
      </c>
      <c r="E621" t="inlineStr">
        <is>
          <t>Complete</t>
        </is>
      </c>
      <c r="F621" s="3">
        <v>43004</v>
      </c>
      <c r="G621" s="3">
        <v>43397</v>
      </c>
      <c r="H621" t="inlineStr">
        <is>
          <t>SR0535-000</t>
        </is>
      </c>
      <c r="N621" t="inlineStr">
        <is>
          <t>Allergan Inc.</t>
        </is>
      </c>
      <c r="Q621" t="inlineStr">
        <is>
          <t>New Indication</t>
        </is>
      </c>
    </row>
    <row r="622">
      <c r="A622" s="2">
        <f>HYPERLINK("https://www.cadth.ca/peginterferon-alfa-2a-and-ribavirin-4", "Pegasys RBV")</f>
        <v>0</v>
      </c>
      <c r="B622" t="inlineStr">
        <is>
          <t>Peginterferon alfa-2a and Ribavirin</t>
        </is>
      </c>
      <c r="C622" t="inlineStr">
        <is>
          <t>Hepatitis C, chronic</t>
        </is>
      </c>
      <c r="D622" t="inlineStr">
        <is>
          <t>List in a similar manner to other drugs in class</t>
        </is>
      </c>
      <c r="E622" t="inlineStr">
        <is>
          <t>Complete</t>
        </is>
      </c>
      <c r="F622" s="3">
        <v>38121</v>
      </c>
      <c r="G622" s="3">
        <v>38274</v>
      </c>
      <c r="H622" t="inlineStr">
        <is>
          <t>S0013</t>
        </is>
      </c>
      <c r="N622" t="inlineStr">
        <is>
          <t>Hoffman-La Roche Ltd.</t>
        </is>
      </c>
      <c r="Q622" t="inlineStr">
        <is>
          <t>Initial</t>
        </is>
      </c>
    </row>
    <row r="623">
      <c r="A623" s="2">
        <f>HYPERLINK("https://www.cadth.ca/pheburane", "Pheburane")</f>
        <v>0</v>
      </c>
      <c r="B623" t="inlineStr">
        <is>
          <t>Sodium phenylbutyrate</t>
        </is>
      </c>
      <c r="C623" t="inlineStr">
        <is>
          <t>Urea cycle disorders</t>
        </is>
      </c>
      <c r="D623" t="inlineStr">
        <is>
          <t>List</t>
        </is>
      </c>
      <c r="E623" t="inlineStr">
        <is>
          <t>Complete</t>
        </is>
      </c>
      <c r="F623" s="3">
        <v>42297</v>
      </c>
      <c r="G623" s="3">
        <v>42475</v>
      </c>
      <c r="H623" t="inlineStr">
        <is>
          <t>SR0452-000</t>
        </is>
      </c>
      <c r="N623" t="inlineStr">
        <is>
          <t>Médunik Canada</t>
        </is>
      </c>
      <c r="Q623" t="inlineStr">
        <is>
          <t>Initial</t>
        </is>
      </c>
    </row>
    <row r="624">
      <c r="A624" s="2">
        <f>HYPERLINK("https://www.cadth.ca/ingenol-mebutate-11", "Picato")</f>
        <v>0</v>
      </c>
      <c r="B624" t="inlineStr">
        <is>
          <t>Ingenol mebutate</t>
        </is>
      </c>
      <c r="C624" t="inlineStr">
        <is>
          <t>Keratosis, actinic</t>
        </is>
      </c>
      <c r="D624" t="inlineStr">
        <is>
          <t>Do not list</t>
        </is>
      </c>
      <c r="E624" t="inlineStr">
        <is>
          <t>Complete</t>
        </is>
      </c>
      <c r="F624" s="3">
        <v>41403</v>
      </c>
      <c r="G624" s="3">
        <v>41661</v>
      </c>
      <c r="H624" t="inlineStr">
        <is>
          <t>SR0330</t>
        </is>
      </c>
      <c r="N624" t="inlineStr">
        <is>
          <t>LEO Pharma Inc.</t>
        </is>
      </c>
      <c r="Q624" t="inlineStr">
        <is>
          <t>Initial</t>
        </is>
      </c>
    </row>
    <row r="625">
      <c r="A625" s="2">
        <f>HYPERLINK("https://www.cadth.ca/ingenol-mebutate-12", "Picato")</f>
        <v>0</v>
      </c>
      <c r="B625" t="inlineStr">
        <is>
          <t>Ingenol mebutate</t>
        </is>
      </c>
      <c r="C625" t="inlineStr">
        <is>
          <t>Actinic keratosis</t>
        </is>
      </c>
      <c r="E625" t="inlineStr">
        <is>
          <t>Complete</t>
        </is>
      </c>
      <c r="F625" s="3">
        <v>41785</v>
      </c>
      <c r="H625" t="inlineStr">
        <is>
          <t>SF0382-000</t>
        </is>
      </c>
      <c r="N625" t="inlineStr">
        <is>
          <t>Leo Pharma Inc.</t>
        </is>
      </c>
      <c r="Q625" t="inlineStr">
        <is>
          <t>Request For Advice</t>
        </is>
      </c>
    </row>
    <row r="626">
      <c r="A626" s="2">
        <f>HYPERLINK("https://www.cadth.ca/doravirine", "Pifeltro")</f>
        <v>0</v>
      </c>
      <c r="B626" t="inlineStr">
        <is>
          <t>doravirine</t>
        </is>
      </c>
      <c r="C626" t="inlineStr">
        <is>
          <t>HIV-1 infection</t>
        </is>
      </c>
      <c r="D626" t="inlineStr">
        <is>
          <t>Reimburse with clinical criteria and/or conditions</t>
        </is>
      </c>
      <c r="E626" t="inlineStr">
        <is>
          <t>Complete</t>
        </is>
      </c>
      <c r="F626" s="3">
        <v>43420</v>
      </c>
      <c r="G626" s="3">
        <v>43599</v>
      </c>
      <c r="H626" t="inlineStr">
        <is>
          <t>SR0582-000</t>
        </is>
      </c>
      <c r="N626" t="inlineStr">
        <is>
          <t>Merck Canada Inc.</t>
        </is>
      </c>
      <c r="Q626" t="inlineStr">
        <is>
          <t>Initial</t>
        </is>
      </c>
    </row>
    <row r="627">
      <c r="A627" s="2">
        <f>HYPERLINK("https://www.cadth.ca/plegridy", "Plegridy")</f>
        <v>0</v>
      </c>
      <c r="B627" t="inlineStr">
        <is>
          <t>Peginterferon beta-1a</t>
        </is>
      </c>
      <c r="C627" t="inlineStr">
        <is>
          <t>Multiple Sclerosis, relapsing</t>
        </is>
      </c>
      <c r="D627" t="inlineStr">
        <is>
          <t>List with criteria/condition</t>
        </is>
      </c>
      <c r="E627" t="inlineStr">
        <is>
          <t>Complete</t>
        </is>
      </c>
      <c r="F627" s="3">
        <v>42181</v>
      </c>
      <c r="G627" s="3">
        <v>42355</v>
      </c>
      <c r="H627" t="inlineStr">
        <is>
          <t>SR0440-000</t>
        </is>
      </c>
      <c r="N627" t="inlineStr">
        <is>
          <t>Biogen Canada Inc.</t>
        </is>
      </c>
      <c r="Q627" t="inlineStr">
        <is>
          <t>Initial</t>
        </is>
      </c>
    </row>
    <row r="628">
      <c r="A628" s="2">
        <f>HYPERLINK("https://www.cadth.ca/eprosartan-mesylate-hydrochlorothiazide", "Teveten Plus")</f>
        <v>0</v>
      </c>
      <c r="B628" t="inlineStr">
        <is>
          <t>Eprosartan mesylate/ hydrochlorothiazide</t>
        </is>
      </c>
      <c r="C628" t="inlineStr">
        <is>
          <t>Hypertension, Essential</t>
        </is>
      </c>
      <c r="D628" t="inlineStr">
        <is>
          <t>List in a similar manner to other drugs in class</t>
        </is>
      </c>
      <c r="E628" t="inlineStr">
        <is>
          <t>Complete</t>
        </is>
      </c>
      <c r="F628" s="3">
        <v>38176</v>
      </c>
      <c r="G628" s="3">
        <v>38336</v>
      </c>
      <c r="H628" t="inlineStr">
        <is>
          <t>S0016</t>
        </is>
      </c>
      <c r="N628" t="inlineStr">
        <is>
          <t>Solvay Pharma Inc.</t>
        </is>
      </c>
      <c r="Q628" t="inlineStr">
        <is>
          <t>Initial</t>
        </is>
      </c>
    </row>
    <row r="629">
      <c r="A629" s="2">
        <f>HYPERLINK("https://www.cadth.ca/dabigatran-etexilate-28", "Pradaxa")</f>
        <v>0</v>
      </c>
      <c r="B629" t="inlineStr">
        <is>
          <t>Dabigatran etexilate</t>
        </is>
      </c>
      <c r="C629" t="inlineStr">
        <is>
          <t>Atrial fibrillation prevention of stroke and systemic embolism</t>
        </is>
      </c>
      <c r="D629" t="inlineStr">
        <is>
          <t>List with clinical criteria and/or conditions</t>
        </is>
      </c>
      <c r="E629" t="inlineStr">
        <is>
          <t>Complete</t>
        </is>
      </c>
      <c r="F629" s="3">
        <v>41351</v>
      </c>
      <c r="G629" s="3">
        <v>41473</v>
      </c>
      <c r="H629" t="inlineStr">
        <is>
          <t>SF0320-000</t>
        </is>
      </c>
      <c r="N629" t="inlineStr">
        <is>
          <t>Boehringer Ingelheim (Canada) Ltd</t>
        </is>
      </c>
      <c r="Q629" t="inlineStr">
        <is>
          <t>Request For Advice</t>
        </is>
      </c>
    </row>
    <row r="630">
      <c r="A630" s="2">
        <f>HYPERLINK("https://www.cadth.ca/dabigatran-etexilate-23", "Pradaxa")</f>
        <v>0</v>
      </c>
      <c r="B630" t="inlineStr">
        <is>
          <t>Dabigatran etexilate</t>
        </is>
      </c>
      <c r="C630" t="inlineStr">
        <is>
          <t>Thromboembolism (venous), prevention</t>
        </is>
      </c>
      <c r="D630" t="inlineStr">
        <is>
          <t>Do not list</t>
        </is>
      </c>
      <c r="E630" t="inlineStr">
        <is>
          <t>Complete</t>
        </is>
      </c>
      <c r="F630" s="3">
        <v>39637</v>
      </c>
      <c r="G630" s="3">
        <v>39841</v>
      </c>
      <c r="H630" t="inlineStr">
        <is>
          <t>S0140</t>
        </is>
      </c>
      <c r="N630" t="inlineStr">
        <is>
          <t>Boehringer Ingelheim (Canada) Ltd.</t>
        </is>
      </c>
      <c r="Q630" t="inlineStr">
        <is>
          <t>Initial</t>
        </is>
      </c>
    </row>
    <row r="631">
      <c r="A631" s="2">
        <f>HYPERLINK("https://www.cadth.ca/dabigatran-etexilate-26", "Pradaxa")</f>
        <v>0</v>
      </c>
      <c r="B631" t="inlineStr">
        <is>
          <t>Dabigatran etexilate</t>
        </is>
      </c>
      <c r="C631" t="inlineStr">
        <is>
          <t>Atrial fibrillation prevention of stroke and systemic embolism</t>
        </is>
      </c>
      <c r="E631" t="inlineStr">
        <is>
          <t>Cancelled</t>
        </is>
      </c>
      <c r="F631" s="3">
        <v>40329</v>
      </c>
      <c r="H631" t="inlineStr">
        <is>
          <t>S0202</t>
        </is>
      </c>
      <c r="N631" t="inlineStr">
        <is>
          <t>Boehringer-Ingelheim (Canada) Ltd.</t>
        </is>
      </c>
      <c r="Q631" t="inlineStr">
        <is>
          <t>Pre-NOC</t>
        </is>
      </c>
    </row>
    <row r="632">
      <c r="A632" s="2">
        <f>HYPERLINK("https://www.cadth.ca/dabigatran-etexilate-27", "Pradaxa")</f>
        <v>0</v>
      </c>
      <c r="B632" t="inlineStr">
        <is>
          <t>Dabigatran etexilate</t>
        </is>
      </c>
      <c r="C632" t="inlineStr">
        <is>
          <t>Atrial fibrillation prevention of stroke and systemic embolism</t>
        </is>
      </c>
      <c r="D632" t="inlineStr">
        <is>
          <t>List with clinical criteria and/or conditions</t>
        </is>
      </c>
      <c r="E632" t="inlineStr">
        <is>
          <t>Complete</t>
        </is>
      </c>
      <c r="F632" s="3">
        <v>40479</v>
      </c>
      <c r="G632" s="3">
        <v>40716</v>
      </c>
      <c r="H632" t="inlineStr">
        <is>
          <t>S0214</t>
        </is>
      </c>
      <c r="N632" t="inlineStr">
        <is>
          <t>Boehringer Ingelheim</t>
        </is>
      </c>
      <c r="Q632" t="inlineStr">
        <is>
          <t>New Indication</t>
        </is>
      </c>
    </row>
    <row r="633">
      <c r="A633" s="2">
        <f>HYPERLINK("https://www.cadth.ca/alirocumab", "Praluent")</f>
        <v>0</v>
      </c>
      <c r="B633" t="inlineStr">
        <is>
          <t>Alirocumab</t>
        </is>
      </c>
      <c r="C633" t="inlineStr">
        <is>
          <t>Primary hypercholesterolemia (non-familial and heterozygous familial), mixed dyslipidemia</t>
        </is>
      </c>
      <c r="D633" t="inlineStr">
        <is>
          <t>Reimburse with clinical criteria and/or conditions</t>
        </is>
      </c>
      <c r="E633" t="inlineStr">
        <is>
          <t>Complete</t>
        </is>
      </c>
      <c r="F633" s="3">
        <v>42381</v>
      </c>
      <c r="G633" s="3">
        <v>42571</v>
      </c>
      <c r="H633" t="inlineStr">
        <is>
          <t>SR0469-000</t>
        </is>
      </c>
      <c r="N633" t="inlineStr">
        <is>
          <t>Sanofi-aventis Canada Inc.</t>
        </is>
      </c>
      <c r="Q633" t="inlineStr">
        <is>
          <t>Initial</t>
        </is>
      </c>
    </row>
    <row r="634">
      <c r="A634" s="2">
        <f>HYPERLINK("https://www.cadth.ca/idarucizumab-drug-plan-submission", "Praxbind")</f>
        <v>0</v>
      </c>
      <c r="B634" t="inlineStr">
        <is>
          <t>Idarucizumab (Drug Plan Submission)</t>
        </is>
      </c>
      <c r="C634" t="inlineStr">
        <is>
          <t>Reversal of dabigatran anticoagulant effects</t>
        </is>
      </c>
      <c r="E634" t="inlineStr">
        <is>
          <t>Withdrawn</t>
        </is>
      </c>
      <c r="F634" s="3">
        <v>42520</v>
      </c>
      <c r="H634" t="inlineStr">
        <is>
          <t>SR0492-000</t>
        </is>
      </c>
      <c r="N634" t="inlineStr">
        <is>
          <t>Boehringer Ingelheim (Canada) Ltd.</t>
        </is>
      </c>
    </row>
    <row r="635">
      <c r="A635" s="2">
        <f>HYPERLINK("https://www.cadth.ca/letermovir", "Prevymis")</f>
        <v>0</v>
      </c>
      <c r="B635" t="inlineStr">
        <is>
          <t>letermovir</t>
        </is>
      </c>
      <c r="C635" t="inlineStr">
        <is>
          <t>Cytomegalovirus infection, prophylaxis</t>
        </is>
      </c>
      <c r="D635" t="inlineStr">
        <is>
          <t>Reimburse with clinical criteria and/or conditions</t>
        </is>
      </c>
      <c r="E635" t="inlineStr">
        <is>
          <t>Complete</t>
        </is>
      </c>
      <c r="F635" s="3">
        <v>43076</v>
      </c>
      <c r="G635" s="3">
        <v>43271</v>
      </c>
      <c r="H635" t="inlineStr">
        <is>
          <t>SR0545-000</t>
        </is>
      </c>
      <c r="N635" t="inlineStr">
        <is>
          <t>Merck Canada Inc.</t>
        </is>
      </c>
      <c r="Q635" t="inlineStr">
        <is>
          <t>Initial</t>
        </is>
      </c>
    </row>
    <row r="636">
      <c r="A636" s="2">
        <f>HYPERLINK("https://www.cadth.ca/lumiracoxib-6", "Prexige")</f>
        <v>0</v>
      </c>
      <c r="B636" t="inlineStr">
        <is>
          <t>Lumiracoxib</t>
        </is>
      </c>
      <c r="C636" t="inlineStr">
        <is>
          <t>Osteoarthritis (Knee)</t>
        </is>
      </c>
      <c r="D636" t="inlineStr">
        <is>
          <t>Do not list</t>
        </is>
      </c>
      <c r="E636" t="inlineStr">
        <is>
          <t>Complete</t>
        </is>
      </c>
      <c r="F636" s="3">
        <v>39066</v>
      </c>
      <c r="G636" s="3">
        <v>39288</v>
      </c>
      <c r="H636" t="inlineStr">
        <is>
          <t>S0090</t>
        </is>
      </c>
      <c r="N636" t="inlineStr">
        <is>
          <t>Novartis Pharmaceuticals Canada Inc.</t>
        </is>
      </c>
      <c r="Q636" t="inlineStr">
        <is>
          <t>Initial</t>
        </is>
      </c>
    </row>
    <row r="637">
      <c r="A637" s="2">
        <f>HYPERLINK("https://www.cadth.ca/darunavircobicistat-4", "Prezcobix")</f>
        <v>0</v>
      </c>
      <c r="B637" t="inlineStr">
        <is>
          <t>Darunavir/cobicistat</t>
        </is>
      </c>
      <c r="C637" t="inlineStr">
        <is>
          <t>HIV Infection</t>
        </is>
      </c>
      <c r="D637" t="inlineStr">
        <is>
          <t>List with criteria/condition</t>
        </is>
      </c>
      <c r="E637" t="inlineStr">
        <is>
          <t>Complete</t>
        </is>
      </c>
      <c r="F637" s="3">
        <v>41781</v>
      </c>
      <c r="G637" s="3">
        <v>42081</v>
      </c>
      <c r="H637" t="inlineStr">
        <is>
          <t>SR0381-000</t>
        </is>
      </c>
      <c r="N637" t="inlineStr">
        <is>
          <t>Janssen Inc.</t>
        </is>
      </c>
      <c r="Q637" t="inlineStr">
        <is>
          <t>Pre-NOC</t>
        </is>
      </c>
    </row>
    <row r="638">
      <c r="A638" s="2">
        <f>HYPERLINK("https://www.cadth.ca/darunavir-20", "Prezista")</f>
        <v>0</v>
      </c>
      <c r="B638" t="inlineStr">
        <is>
          <t>Darunavir</t>
        </is>
      </c>
      <c r="C638" t="inlineStr">
        <is>
          <t>HIV infection</t>
        </is>
      </c>
      <c r="D638" t="inlineStr">
        <is>
          <t>List with clinical criteria and/or conditions</t>
        </is>
      </c>
      <c r="E638" t="inlineStr">
        <is>
          <t>Complete</t>
        </is>
      </c>
      <c r="F638" s="3">
        <v>38958</v>
      </c>
      <c r="G638" s="3">
        <v>39127</v>
      </c>
      <c r="H638" t="inlineStr">
        <is>
          <t>S0072</t>
        </is>
      </c>
      <c r="N638" t="inlineStr">
        <is>
          <t>Janssen-Ortho Inc.</t>
        </is>
      </c>
      <c r="Q638" t="inlineStr">
        <is>
          <t>Initial</t>
        </is>
      </c>
    </row>
    <row r="639">
      <c r="A639" s="2">
        <f>HYPERLINK("https://www.cadth.ca/darunavir-21", "Prezista")</f>
        <v>0</v>
      </c>
      <c r="B639" t="inlineStr">
        <is>
          <t>Darunavir</t>
        </is>
      </c>
      <c r="C639" t="inlineStr">
        <is>
          <t>HIV (treatment naive)</t>
        </is>
      </c>
      <c r="D639" t="inlineStr">
        <is>
          <t>List with clinical criteria and/or conditions</t>
        </is>
      </c>
      <c r="E639" t="inlineStr">
        <is>
          <t>Complete</t>
        </is>
      </c>
      <c r="F639" s="3">
        <v>39899</v>
      </c>
      <c r="G639" s="3">
        <v>40100</v>
      </c>
      <c r="H639" t="inlineStr">
        <is>
          <t>S0163</t>
        </is>
      </c>
      <c r="N639" t="inlineStr">
        <is>
          <t>Janssen-Ortho Inc.</t>
        </is>
      </c>
      <c r="Q639" t="inlineStr">
        <is>
          <t>New Indication</t>
        </is>
      </c>
    </row>
    <row r="640">
      <c r="A640" s="2">
        <f>HYPERLINK("https://www.cadth.ca/darunavir-22", "Prezista")</f>
        <v>0</v>
      </c>
      <c r="B640" t="inlineStr">
        <is>
          <t>Darunavir</t>
        </is>
      </c>
      <c r="C640" t="inlineStr">
        <is>
          <t>HIV infection (Pediatric)</t>
        </is>
      </c>
      <c r="D640" t="inlineStr">
        <is>
          <t>List with clinical criteria and/or conditions</t>
        </is>
      </c>
      <c r="E640" t="inlineStr">
        <is>
          <t>Complete</t>
        </is>
      </c>
      <c r="F640" s="3">
        <v>40169</v>
      </c>
      <c r="G640" s="3">
        <v>40346</v>
      </c>
      <c r="H640" t="inlineStr">
        <is>
          <t>S0194</t>
        </is>
      </c>
      <c r="N640" t="inlineStr">
        <is>
          <t>Janssen-Ortho Inc.</t>
        </is>
      </c>
      <c r="Q640" t="inlineStr">
        <is>
          <t>New Indication</t>
        </is>
      </c>
    </row>
    <row r="641">
      <c r="A641" s="2">
        <f>HYPERLINK("https://www.cadth.ca/desvenlafaxine-succinate-6", "Pristiq")</f>
        <v>0</v>
      </c>
      <c r="B641" t="inlineStr">
        <is>
          <t>Desvenlafaxine succinate</t>
        </is>
      </c>
      <c r="C641" t="inlineStr">
        <is>
          <t>Depressive, Major Disorder (MDD)</t>
        </is>
      </c>
      <c r="D641" t="inlineStr">
        <is>
          <t>Do not list</t>
        </is>
      </c>
      <c r="E641" t="inlineStr">
        <is>
          <t>Complete</t>
        </is>
      </c>
      <c r="F641" s="3">
        <v>39877</v>
      </c>
      <c r="G641" s="3">
        <v>40079</v>
      </c>
      <c r="H641" t="inlineStr">
        <is>
          <t>S0159</t>
        </is>
      </c>
      <c r="N641" t="inlineStr">
        <is>
          <t>Wyeth Canada</t>
        </is>
      </c>
      <c r="Q641" t="inlineStr">
        <is>
          <t>Initial</t>
        </is>
      </c>
    </row>
    <row r="642">
      <c r="A642" s="2">
        <f>HYPERLINK("https://www.cadth.ca/buprenorphine-hydrochloride", "Probuphine")</f>
        <v>0</v>
      </c>
      <c r="B642" t="inlineStr">
        <is>
          <t>buprenorphine hydrochloride</t>
        </is>
      </c>
      <c r="C642" t="inlineStr">
        <is>
          <t>Opioid drug dependence, treatment</t>
        </is>
      </c>
      <c r="D642" t="inlineStr">
        <is>
          <t>Reimburse with clinical criteria and/or conditions</t>
        </is>
      </c>
      <c r="E642" t="inlineStr">
        <is>
          <t>Complete</t>
        </is>
      </c>
      <c r="F642" s="3">
        <v>43090</v>
      </c>
      <c r="G642" s="3">
        <v>43334</v>
      </c>
      <c r="H642" t="inlineStr">
        <is>
          <t>SR0550-000</t>
        </is>
      </c>
      <c r="N642" t="inlineStr">
        <is>
          <t>Knight Therapeutics Inc.</t>
        </is>
      </c>
      <c r="Q642" t="inlineStr">
        <is>
          <t>Initial</t>
        </is>
      </c>
    </row>
    <row r="643">
      <c r="A643" s="2">
        <f>HYPERLINK("https://www.cadth.ca/cysteamine-bitartrate", "Procysbi")</f>
        <v>0</v>
      </c>
      <c r="B643" t="inlineStr">
        <is>
          <t>cysteamine bitartrate</t>
        </is>
      </c>
      <c r="C643" t="inlineStr">
        <is>
          <t>Nephropathic cystinosis</t>
        </is>
      </c>
      <c r="D643" t="inlineStr">
        <is>
          <t>Reimburse with clinical criteria and/or conditions</t>
        </is>
      </c>
      <c r="E643" t="inlineStr">
        <is>
          <t>Complete</t>
        </is>
      </c>
      <c r="F643" s="3">
        <v>42955</v>
      </c>
      <c r="G643" s="3">
        <v>43124</v>
      </c>
      <c r="H643" t="inlineStr">
        <is>
          <t>SR0526-000</t>
        </is>
      </c>
      <c r="N643" t="inlineStr">
        <is>
          <t>Horizon Pharma</t>
        </is>
      </c>
      <c r="Q643" t="inlineStr">
        <is>
          <t>Initial</t>
        </is>
      </c>
    </row>
    <row r="644">
      <c r="A644" s="2">
        <f>HYPERLINK("https://www.cadth.ca/denosumab-13", "Prolia")</f>
        <v>0</v>
      </c>
      <c r="B644" t="inlineStr">
        <is>
          <t>Denosumab</t>
        </is>
      </c>
      <c r="C644" t="inlineStr">
        <is>
          <t>Osteoporosis, postmenopausal women</t>
        </is>
      </c>
      <c r="D644" t="inlineStr">
        <is>
          <t>List with clinical criteria and/or conditions</t>
        </is>
      </c>
      <c r="E644" t="inlineStr">
        <is>
          <t>Complete</t>
        </is>
      </c>
      <c r="F644" s="3">
        <v>40416</v>
      </c>
      <c r="G644" s="3">
        <v>40632</v>
      </c>
      <c r="H644" t="inlineStr">
        <is>
          <t>S0208</t>
        </is>
      </c>
      <c r="N644" t="inlineStr">
        <is>
          <t>Amgen Canada Inc.</t>
        </is>
      </c>
      <c r="Q644" t="inlineStr">
        <is>
          <t>Initial</t>
        </is>
      </c>
    </row>
    <row r="645">
      <c r="A645" s="2">
        <f>HYPERLINK("https://www.cadth.ca/denosumab-15", "Prolia")</f>
        <v>0</v>
      </c>
      <c r="B645" t="inlineStr">
        <is>
          <t>Denosumab</t>
        </is>
      </c>
      <c r="C645" t="inlineStr">
        <is>
          <t>Osteoporosis, postmenopausal women</t>
        </is>
      </c>
      <c r="D645" t="inlineStr">
        <is>
          <t>Reimburse with clinical criteria and/or conditions</t>
        </is>
      </c>
      <c r="E645" t="inlineStr">
        <is>
          <t>Complete</t>
        </is>
      </c>
      <c r="F645" s="3">
        <v>42303</v>
      </c>
      <c r="G645" s="3">
        <v>42510</v>
      </c>
      <c r="H645" t="inlineStr">
        <is>
          <t>SF0453-000</t>
        </is>
      </c>
      <c r="N645" t="inlineStr">
        <is>
          <t>Amgen Canada Inc.</t>
        </is>
      </c>
      <c r="Q645" t="inlineStr">
        <is>
          <t>Request For Advice</t>
        </is>
      </c>
    </row>
    <row r="646">
      <c r="A646" s="2">
        <f>HYPERLINK("https://www.cadth.ca/denosumab-drug-plan-submission", "Prolia")</f>
        <v>0</v>
      </c>
      <c r="B646" t="inlineStr">
        <is>
          <t>Denosumab (Drug Plan Submission)</t>
        </is>
      </c>
      <c r="C646" t="inlineStr">
        <is>
          <t>Osteoporosis, men</t>
        </is>
      </c>
      <c r="D646" t="inlineStr">
        <is>
          <t>List with clinical criteria and/or conditions</t>
        </is>
      </c>
      <c r="E646" t="inlineStr">
        <is>
          <t>Complete</t>
        </is>
      </c>
      <c r="F646" s="3">
        <v>42073</v>
      </c>
      <c r="G646" s="3">
        <v>42268</v>
      </c>
      <c r="H646" t="inlineStr">
        <is>
          <t>SR0414-000</t>
        </is>
      </c>
      <c r="N646" t="inlineStr">
        <is>
          <t>Amgen Canada</t>
        </is>
      </c>
      <c r="Q646" t="inlineStr">
        <is>
          <t>Drug Plan Initiated</t>
        </is>
      </c>
    </row>
    <row r="647">
      <c r="A647" s="2">
        <f>HYPERLINK("https://www.cadth.ca/levofloxacin", "Quinsair")</f>
        <v>0</v>
      </c>
      <c r="B647" t="inlineStr">
        <is>
          <t>Levofloxacin</t>
        </is>
      </c>
      <c r="C647" t="inlineStr">
        <is>
          <t>Cystic fibrosis with chronic pulmonary Pseudomonas aeruginosa infections</t>
        </is>
      </c>
      <c r="D647" t="inlineStr">
        <is>
          <t>Reimburse with clinical criteria and/or conditions</t>
        </is>
      </c>
      <c r="E647" t="inlineStr">
        <is>
          <t>Complete</t>
        </is>
      </c>
      <c r="F647" s="3">
        <v>42521</v>
      </c>
      <c r="G647" s="3">
        <v>42695</v>
      </c>
      <c r="H647" t="inlineStr">
        <is>
          <t>SR0493-000</t>
        </is>
      </c>
      <c r="N647" t="inlineStr">
        <is>
          <t>Raptor Pharmaceuticals Inc.</t>
        </is>
      </c>
      <c r="Q647" t="inlineStr">
        <is>
          <t>Initial</t>
        </is>
      </c>
    </row>
    <row r="648">
      <c r="A648" s="2">
        <f>HYPERLINK("https://www.cadth.ca/edaravone", "Radicava")</f>
        <v>0</v>
      </c>
      <c r="B648" t="inlineStr">
        <is>
          <t>edaravone</t>
        </is>
      </c>
      <c r="C648" t="inlineStr">
        <is>
          <t>amyotrophic lateral sclerosis</t>
        </is>
      </c>
      <c r="D648" t="inlineStr">
        <is>
          <t>Reimburse with clinical criteria and/or conditions</t>
        </is>
      </c>
      <c r="E648" t="inlineStr">
        <is>
          <t>Complete</t>
        </is>
      </c>
      <c r="F648" s="3">
        <v>43286</v>
      </c>
      <c r="G648" s="3">
        <v>43551</v>
      </c>
      <c r="H648" t="inlineStr">
        <is>
          <t>SR0573-000</t>
        </is>
      </c>
      <c r="N648" t="inlineStr">
        <is>
          <t>Mitsubishi Tanabe Pharma Corporation</t>
        </is>
      </c>
      <c r="Q648" t="inlineStr">
        <is>
          <t>Initial</t>
        </is>
      </c>
    </row>
    <row r="649">
      <c r="A649" s="2">
        <f>HYPERLINK("https://www.cadth.ca/tramadol-hydrochloride-27", "Ralivia")</f>
        <v>0</v>
      </c>
      <c r="B649" t="inlineStr">
        <is>
          <t>Tramadol hydrochloride</t>
        </is>
      </c>
      <c r="C649" t="inlineStr">
        <is>
          <t>Pain</t>
        </is>
      </c>
      <c r="D649" t="inlineStr">
        <is>
          <t>Do not list</t>
        </is>
      </c>
      <c r="E649" t="inlineStr">
        <is>
          <t>Complete</t>
        </is>
      </c>
      <c r="F649" s="3">
        <v>39384</v>
      </c>
      <c r="G649" s="3">
        <v>39624</v>
      </c>
      <c r="H649" t="inlineStr">
        <is>
          <t>S0110</t>
        </is>
      </c>
      <c r="N649" t="inlineStr">
        <is>
          <t>Biovail Pharmaceuticals Canada</t>
        </is>
      </c>
      <c r="Q649" t="inlineStr">
        <is>
          <t>Initial</t>
        </is>
      </c>
    </row>
    <row r="650">
      <c r="A650" s="2">
        <f>HYPERLINK("https://www.cadth.ca/silodosin-6", "RAPAFLO")</f>
        <v>0</v>
      </c>
      <c r="B650" t="inlineStr">
        <is>
          <t>Silodosin</t>
        </is>
      </c>
      <c r="C650" t="inlineStr">
        <is>
          <t>Prostatic Hyperplasia, benign</t>
        </is>
      </c>
      <c r="D650" t="inlineStr">
        <is>
          <t>Do not list</t>
        </is>
      </c>
      <c r="E650" t="inlineStr">
        <is>
          <t>Complete</t>
        </is>
      </c>
      <c r="F650" s="3">
        <v>40841</v>
      </c>
      <c r="G650" s="3">
        <v>41018</v>
      </c>
      <c r="H650" t="inlineStr">
        <is>
          <t>S0261</t>
        </is>
      </c>
      <c r="N650" t="inlineStr">
        <is>
          <t>Watson Pharma Company</t>
        </is>
      </c>
      <c r="Q650" t="inlineStr">
        <is>
          <t>Initial</t>
        </is>
      </c>
    </row>
    <row r="651">
      <c r="A651" s="2">
        <f>HYPERLINK("https://www.cadth.ca/efalizumab-13", "Raptiva")</f>
        <v>0</v>
      </c>
      <c r="B651" t="inlineStr">
        <is>
          <t>Efalizumab</t>
        </is>
      </c>
      <c r="C651" t="inlineStr">
        <is>
          <t>Psoriasis, moderate to severe chronic plaque</t>
        </is>
      </c>
      <c r="D651" t="inlineStr">
        <is>
          <t>List with clinical criteria and/or conditions</t>
        </is>
      </c>
      <c r="E651" t="inlineStr">
        <is>
          <t>Complete</t>
        </is>
      </c>
      <c r="F651" s="3">
        <v>38650</v>
      </c>
      <c r="G651" s="3">
        <v>38953</v>
      </c>
      <c r="H651" t="inlineStr">
        <is>
          <t>S0043</t>
        </is>
      </c>
      <c r="N651" t="inlineStr">
        <is>
          <t>Serono Canada Inc.</t>
        </is>
      </c>
      <c r="Q651" t="inlineStr">
        <is>
          <t>Initial</t>
        </is>
      </c>
    </row>
    <row r="652">
      <c r="A652" s="2">
        <f>HYPERLINK("https://www.cadth.ca/efalizumab-14", "Raptiva")</f>
        <v>0</v>
      </c>
      <c r="B652" t="inlineStr">
        <is>
          <t>Efalizumab</t>
        </is>
      </c>
      <c r="C652" t="inlineStr">
        <is>
          <t>Psoriasis, moderate to severe chronic plaque</t>
        </is>
      </c>
      <c r="E652" t="inlineStr">
        <is>
          <t>Complete</t>
        </is>
      </c>
      <c r="F652" s="3">
        <v>39252</v>
      </c>
      <c r="H652" t="inlineStr">
        <is>
          <t>S0102</t>
        </is>
      </c>
      <c r="N652" t="inlineStr">
        <is>
          <t>Serono Canada Inc.</t>
        </is>
      </c>
      <c r="Q652" t="inlineStr">
        <is>
          <t>Request For Advice</t>
        </is>
      </c>
    </row>
    <row r="653">
      <c r="A653" s="2">
        <f>HYPERLINK("https://www.cadth.ca/aliskiren-7", "Rasilez")</f>
        <v>0</v>
      </c>
      <c r="B653" t="inlineStr">
        <is>
          <t>Aliskiren</t>
        </is>
      </c>
      <c r="C653" t="inlineStr">
        <is>
          <t>Hypertension</t>
        </is>
      </c>
      <c r="D653" t="inlineStr">
        <is>
          <t>Do not list</t>
        </is>
      </c>
      <c r="E653" t="inlineStr">
        <is>
          <t>Complete</t>
        </is>
      </c>
      <c r="F653" s="3">
        <v>39416</v>
      </c>
      <c r="G653" s="3">
        <v>39624</v>
      </c>
      <c r="H653" t="inlineStr">
        <is>
          <t>S0118</t>
        </is>
      </c>
      <c r="N653" t="inlineStr">
        <is>
          <t>Novartis Pharmaceuticals Canada Inc.</t>
        </is>
      </c>
      <c r="Q653" t="inlineStr">
        <is>
          <t>Initial</t>
        </is>
      </c>
    </row>
    <row r="654">
      <c r="A654" s="2">
        <f>HYPERLINK("https://www.cadth.ca/glycerol-phenylbutyrate", "Ravicti")</f>
        <v>0</v>
      </c>
      <c r="B654" t="inlineStr">
        <is>
          <t>glycerol phenylbutyrate</t>
        </is>
      </c>
      <c r="C654" t="inlineStr">
        <is>
          <t>Urea cycle disorders</t>
        </is>
      </c>
      <c r="D654" t="inlineStr">
        <is>
          <t>Reimburse with clinical criteria and/or conditions</t>
        </is>
      </c>
      <c r="E654" t="inlineStr">
        <is>
          <t>Complete</t>
        </is>
      </c>
      <c r="F654" s="3">
        <v>42612</v>
      </c>
      <c r="G654" s="3">
        <v>42815</v>
      </c>
      <c r="H654" t="inlineStr">
        <is>
          <t>SR0497-000</t>
        </is>
      </c>
      <c r="N654" t="inlineStr">
        <is>
          <t>Horizon Therapeutics Canada/Horizon Pharma Ireland Ltd.</t>
        </is>
      </c>
      <c r="Q654" t="inlineStr">
        <is>
          <t>Initial</t>
        </is>
      </c>
    </row>
    <row r="655">
      <c r="A655" s="2">
        <f>HYPERLINK("https://www.cadth.ca/interferon-beta-1a-6", "Rebif")</f>
        <v>0</v>
      </c>
      <c r="B655" t="inlineStr">
        <is>
          <t>Interferon beta-1a</t>
        </is>
      </c>
      <c r="C655" t="inlineStr">
        <is>
          <t>Clinically Isolated Syndrome</t>
        </is>
      </c>
      <c r="D655" t="inlineStr">
        <is>
          <t>Do not list</t>
        </is>
      </c>
      <c r="E655" t="inlineStr">
        <is>
          <t>Complete</t>
        </is>
      </c>
      <c r="F655" s="3">
        <v>41341</v>
      </c>
      <c r="G655" s="3">
        <v>41501</v>
      </c>
      <c r="H655" t="inlineStr">
        <is>
          <t>SR0298</t>
        </is>
      </c>
      <c r="N655" t="inlineStr">
        <is>
          <t>EMD Serono</t>
        </is>
      </c>
      <c r="Q655" t="inlineStr">
        <is>
          <t>Initial</t>
        </is>
      </c>
    </row>
    <row r="656">
      <c r="A656" s="2">
        <f>HYPERLINK("https://www.cadth.ca/luspatercept", "Reblozyl")</f>
        <v>0</v>
      </c>
      <c r="B656" t="inlineStr">
        <is>
          <t>luspatercept</t>
        </is>
      </c>
      <c r="C656" t="inlineStr">
        <is>
          <t>For the treatment of adult patients with
red blood cell (RBC) transfusion-dependent anemia associated with
beta(β)-thalassemia</t>
        </is>
      </c>
      <c r="E656" t="inlineStr">
        <is>
          <t>Pending</t>
        </is>
      </c>
      <c r="H656" t="inlineStr">
        <is>
          <t>SR0669-000</t>
        </is>
      </c>
      <c r="N656" t="inlineStr">
        <is>
          <t>Celgene Inc. / Bristol-Myers Squibb Canada Co.</t>
        </is>
      </c>
      <c r="Q656" t="inlineStr">
        <is>
          <t>Initial</t>
        </is>
      </c>
    </row>
    <row r="657">
      <c r="A657" s="2">
        <f>HYPERLINK("https://www.cadth.ca/methylnaltrexone-bromide-6", "Relistor")</f>
        <v>0</v>
      </c>
      <c r="B657" t="inlineStr">
        <is>
          <t>Methylnaltrexone bromide</t>
        </is>
      </c>
      <c r="C657" t="inlineStr">
        <is>
          <t>Constipation, Opioid-induced</t>
        </is>
      </c>
      <c r="D657" t="inlineStr">
        <is>
          <t>Do not list</t>
        </is>
      </c>
      <c r="E657" t="inlineStr">
        <is>
          <t>Complete</t>
        </is>
      </c>
      <c r="F657" s="3">
        <v>39575</v>
      </c>
      <c r="G657" s="3">
        <v>39841</v>
      </c>
      <c r="H657" t="inlineStr">
        <is>
          <t>S0135</t>
        </is>
      </c>
      <c r="N657" t="inlineStr">
        <is>
          <t>Wyeth Canada</t>
        </is>
      </c>
      <c r="Q657" t="inlineStr">
        <is>
          <t>Initial</t>
        </is>
      </c>
    </row>
    <row r="658">
      <c r="A658" s="2">
        <f>HYPERLINK("https://www.cadth.ca/eletriptan-hydrobromide-4", "Relpax")</f>
        <v>0</v>
      </c>
      <c r="B658" t="inlineStr">
        <is>
          <t>Eletriptan hydrobromide</t>
        </is>
      </c>
      <c r="C658" t="inlineStr">
        <is>
          <t>Migraine</t>
        </is>
      </c>
      <c r="D658" t="inlineStr">
        <is>
          <t>Do not list</t>
        </is>
      </c>
      <c r="E658" t="inlineStr">
        <is>
          <t>Complete</t>
        </is>
      </c>
      <c r="F658" s="3">
        <v>38251</v>
      </c>
      <c r="G658" s="3">
        <v>38434</v>
      </c>
      <c r="H658" t="inlineStr">
        <is>
          <t>S0021</t>
        </is>
      </c>
      <c r="N658" t="inlineStr">
        <is>
          <t>Pfizer Canada Inc.</t>
        </is>
      </c>
      <c r="Q658" t="inlineStr">
        <is>
          <t>Initial</t>
        </is>
      </c>
    </row>
    <row r="659">
      <c r="A659" s="2">
        <f>HYPERLINK("https://www.cadth.ca/infliximab-16", "Remicade")</f>
        <v>0</v>
      </c>
      <c r="B659" t="inlineStr">
        <is>
          <t>Infliximab</t>
        </is>
      </c>
      <c r="C659" t="inlineStr">
        <is>
          <t>Ulcerative Colitis</t>
        </is>
      </c>
      <c r="D659" t="inlineStr">
        <is>
          <t>Do not list</t>
        </is>
      </c>
      <c r="E659" t="inlineStr">
        <is>
          <t>Complete</t>
        </is>
      </c>
      <c r="F659" s="3">
        <v>39720</v>
      </c>
      <c r="G659" s="3">
        <v>39925</v>
      </c>
      <c r="H659" t="inlineStr">
        <is>
          <t>S0146</t>
        </is>
      </c>
      <c r="N659" t="inlineStr">
        <is>
          <t>Centocor Inc.</t>
        </is>
      </c>
      <c r="Q659" t="inlineStr">
        <is>
          <t>Initial</t>
        </is>
      </c>
    </row>
    <row r="660">
      <c r="A660" s="2">
        <f>HYPERLINK("https://www.cadth.ca/treprostinil-sodium-12", "Remodulin")</f>
        <v>0</v>
      </c>
      <c r="B660" t="inlineStr">
        <is>
          <t>Treprostinil sodium</t>
        </is>
      </c>
      <c r="C660" t="inlineStr">
        <is>
          <t>Pulmonary arterial hypertension (NYHA Class III and IV patients)</t>
        </is>
      </c>
      <c r="D660" t="inlineStr">
        <is>
          <t>List with clinical criteria and/or conditions</t>
        </is>
      </c>
      <c r="E660" t="inlineStr">
        <is>
          <t>Complete</t>
        </is>
      </c>
      <c r="F660" s="3">
        <v>38772</v>
      </c>
      <c r="G660" s="3">
        <v>38918</v>
      </c>
      <c r="H660" t="inlineStr">
        <is>
          <t>S0052</t>
        </is>
      </c>
      <c r="N660" t="inlineStr">
        <is>
          <t>Northern Therapeutics Inc.</t>
        </is>
      </c>
      <c r="Q660" t="inlineStr">
        <is>
          <t>Resubmission</t>
        </is>
      </c>
    </row>
    <row r="661">
      <c r="A661" s="2">
        <f>HYPERLINK("https://www.cadth.ca/treprostinil-sodium-10", "Remodulin")</f>
        <v>0</v>
      </c>
      <c r="B661" t="inlineStr">
        <is>
          <t>Treprostinil sodium</t>
        </is>
      </c>
      <c r="C661" t="inlineStr">
        <is>
          <t>Pulmonary arterial hypertension (NYHA Class III and IV patients)</t>
        </is>
      </c>
      <c r="D661" t="inlineStr">
        <is>
          <t>Do not list</t>
        </is>
      </c>
      <c r="E661" t="inlineStr">
        <is>
          <t>Complete</t>
        </is>
      </c>
      <c r="F661" s="3">
        <v>38182</v>
      </c>
      <c r="G661" s="3">
        <v>38308</v>
      </c>
      <c r="H661" t="inlineStr">
        <is>
          <t>S0011</t>
        </is>
      </c>
      <c r="N661" t="inlineStr">
        <is>
          <t>Northern Therapeutics Inc.</t>
        </is>
      </c>
      <c r="Q661" t="inlineStr">
        <is>
          <t>Initial</t>
        </is>
      </c>
    </row>
    <row r="662">
      <c r="A662" s="2">
        <f>HYPERLINK("https://www.cadth.ca/infliximab-17", "Remsima")</f>
        <v>0</v>
      </c>
      <c r="B662" t="inlineStr">
        <is>
          <t>Infliximab</t>
        </is>
      </c>
      <c r="C662" t="inlineStr">
        <is>
          <t>Ankylosing spondylitis, plaque psoriasis, psoriatic arthritis, rheumatoid arthritis</t>
        </is>
      </c>
      <c r="E662" t="inlineStr">
        <is>
          <t>Withdrawn</t>
        </is>
      </c>
      <c r="F662" s="3">
        <v>41789</v>
      </c>
      <c r="H662" t="inlineStr">
        <is>
          <t>SE0383-000</t>
        </is>
      </c>
      <c r="N662" t="inlineStr">
        <is>
          <t>Fresenius Kabi Canada</t>
        </is>
      </c>
      <c r="Q662" t="inlineStr">
        <is>
          <t>Initial</t>
        </is>
      </c>
    </row>
    <row r="663">
      <c r="A663" s="2">
        <f>HYPERLINK("https://www.cadth.ca/infliximab-20", "Renflexis")</f>
        <v>0</v>
      </c>
      <c r="B663" t="inlineStr">
        <is>
          <t>infliximab</t>
        </is>
      </c>
      <c r="C663" t="inlineStr">
        <is>
          <t>rheumatoid arthritis, ankylosing spondylitis, adult Crohn’s disease, pediatric Crohn’s disease, fistulising Crohn’s disease, adult ulcerative colitis, pediatric ulcerative colitis, psoriatic arthritis, plaque psoriasis</t>
        </is>
      </c>
      <c r="D663" t="inlineStr">
        <is>
          <t>Reimburse with clinical criteria and/or conditions</t>
        </is>
      </c>
      <c r="E663" t="inlineStr">
        <is>
          <t>Complete</t>
        </is>
      </c>
      <c r="F663" s="3">
        <v>42983</v>
      </c>
      <c r="G663" s="3">
        <v>43151</v>
      </c>
      <c r="H663" t="inlineStr">
        <is>
          <t>SE0532-000</t>
        </is>
      </c>
      <c r="N663" t="inlineStr">
        <is>
          <t>Merck Canada Inc.</t>
        </is>
      </c>
      <c r="Q663" t="inlineStr">
        <is>
          <t>Initial</t>
        </is>
      </c>
    </row>
    <row r="664">
      <c r="A664" s="2">
        <f>HYPERLINK("https://www.cadth.ca/repatha", "Repatha")</f>
        <v>0</v>
      </c>
      <c r="B664" t="inlineStr">
        <is>
          <t>Evolocumab</t>
        </is>
      </c>
      <c r="C664" t="inlineStr">
        <is>
          <t>Primary hyperlipidemia and mixed dyslipidemia</t>
        </is>
      </c>
      <c r="D664" t="inlineStr">
        <is>
          <t>List with clinical criteria and/or conditions</t>
        </is>
      </c>
      <c r="E664" t="inlineStr">
        <is>
          <t>Complete</t>
        </is>
      </c>
      <c r="F664" s="3">
        <v>42185</v>
      </c>
      <c r="G664" s="3">
        <v>42419</v>
      </c>
      <c r="H664" t="inlineStr">
        <is>
          <t>SR0441-000</t>
        </is>
      </c>
      <c r="N664" t="inlineStr">
        <is>
          <t>Amgen Canada Inc.</t>
        </is>
      </c>
      <c r="Q664" t="inlineStr">
        <is>
          <t>Initial</t>
        </is>
      </c>
    </row>
    <row r="665">
      <c r="A665" s="2">
        <f>HYPERLINK("https://www.cadth.ca/evolocumab-0", "Repatha")</f>
        <v>0</v>
      </c>
      <c r="B665" t="inlineStr">
        <is>
          <t>Evolocumab</t>
        </is>
      </c>
      <c r="C665" t="inlineStr">
        <is>
          <t>Primary hyperlipidemia and mixed dyslipidemia</t>
        </is>
      </c>
      <c r="D665" t="inlineStr">
        <is>
          <t>Reimburse with clinical criteria and/or conditions</t>
        </is>
      </c>
      <c r="E665" t="inlineStr">
        <is>
          <t>Complete</t>
        </is>
      </c>
      <c r="F665" s="3">
        <v>42783</v>
      </c>
      <c r="G665" s="3">
        <v>43061</v>
      </c>
      <c r="H665" t="inlineStr">
        <is>
          <t>SR0515-000</t>
        </is>
      </c>
      <c r="N665" t="inlineStr">
        <is>
          <t>Amgen Canada Inc.</t>
        </is>
      </c>
      <c r="Q665" t="inlineStr">
        <is>
          <t>Resubmission</t>
        </is>
      </c>
    </row>
    <row r="666">
      <c r="A666" s="2">
        <f>HYPERLINK("https://www.cadth.ca/agalsidase-alfa-4", "Replagal")</f>
        <v>0</v>
      </c>
      <c r="B666" t="inlineStr">
        <is>
          <t>Agalsidase alfa</t>
        </is>
      </c>
      <c r="C666" t="inlineStr">
        <is>
          <t>Fabry Disease</t>
        </is>
      </c>
      <c r="D666" t="inlineStr">
        <is>
          <t>Do not list</t>
        </is>
      </c>
      <c r="E666" t="inlineStr">
        <is>
          <t>Complete</t>
        </is>
      </c>
      <c r="F666" s="3">
        <v>38036</v>
      </c>
      <c r="G666" s="3">
        <v>38315</v>
      </c>
      <c r="H666" t="inlineStr">
        <is>
          <t>S0006</t>
        </is>
      </c>
      <c r="N666" t="inlineStr">
        <is>
          <t>Transkaryotic Therapies Inc.</t>
        </is>
      </c>
      <c r="Q666" t="inlineStr">
        <is>
          <t>Initial</t>
        </is>
      </c>
    </row>
    <row r="667">
      <c r="A667" s="2">
        <f>HYPERLINK("https://www.cadth.ca/prucalopride-6", "Resotran")</f>
        <v>0</v>
      </c>
      <c r="B667" t="inlineStr">
        <is>
          <t>Prucalopride</t>
        </is>
      </c>
      <c r="C667" t="inlineStr">
        <is>
          <t>Constipation, chronic</t>
        </is>
      </c>
      <c r="D667" t="inlineStr">
        <is>
          <t>Do not list</t>
        </is>
      </c>
      <c r="E667" t="inlineStr">
        <is>
          <t>Complete</t>
        </is>
      </c>
      <c r="F667" s="3">
        <v>40938</v>
      </c>
      <c r="G667" s="3">
        <v>41109</v>
      </c>
      <c r="H667" t="inlineStr">
        <is>
          <t>SR0266</t>
        </is>
      </c>
      <c r="N667" t="inlineStr">
        <is>
          <t>Janssen Inc.</t>
        </is>
      </c>
      <c r="Q667" t="inlineStr">
        <is>
          <t>Initial</t>
        </is>
      </c>
    </row>
    <row r="668">
      <c r="A668" s="2">
        <f>HYPERLINK("https://www.cadth.ca/tiotropium-bromide", "Spiriva Respimat")</f>
        <v>0</v>
      </c>
      <c r="B668" t="inlineStr">
        <is>
          <t>Tiotropium bromide</t>
        </is>
      </c>
      <c r="C668" t="inlineStr">
        <is>
          <t>Chronic Obstructive Pulmonary Disease (COPD)</t>
        </is>
      </c>
      <c r="D668" t="inlineStr">
        <is>
          <t>List with clinical criteria and/or conditions</t>
        </is>
      </c>
      <c r="E668" t="inlineStr">
        <is>
          <t>Complete</t>
        </is>
      </c>
      <c r="F668" s="3">
        <v>41996</v>
      </c>
      <c r="G668" s="3">
        <v>42201</v>
      </c>
      <c r="H668" t="inlineStr">
        <is>
          <t>SR0412-000</t>
        </is>
      </c>
      <c r="N668" t="inlineStr">
        <is>
          <t>Boehringer Ingelheim (Canada) Ltd.</t>
        </is>
      </c>
      <c r="Q668" t="inlineStr">
        <is>
          <t>Initial</t>
        </is>
      </c>
    </row>
    <row r="669">
      <c r="A669" s="2">
        <f>HYPERLINK("https://www.cadth.ca/sildenafil-citrate-6", "Revatio")</f>
        <v>0</v>
      </c>
      <c r="B669" t="inlineStr">
        <is>
          <t>Sildenafil citrate</t>
        </is>
      </c>
      <c r="C669" t="inlineStr">
        <is>
          <t>Pulmonary arterial hypertension (WHO class II and III)</t>
        </is>
      </c>
      <c r="D669" t="inlineStr">
        <is>
          <t>List in a similar manner</t>
        </is>
      </c>
      <c r="E669" t="inlineStr">
        <is>
          <t>Complete</t>
        </is>
      </c>
      <c r="F669" s="3">
        <v>38980</v>
      </c>
      <c r="G669" s="3">
        <v>39127</v>
      </c>
      <c r="H669" t="inlineStr">
        <is>
          <t>S0076</t>
        </is>
      </c>
      <c r="N669" t="inlineStr">
        <is>
          <t>Pfizer Canada Inc.</t>
        </is>
      </c>
      <c r="Q669" t="inlineStr">
        <is>
          <t>Initial</t>
        </is>
      </c>
    </row>
    <row r="670">
      <c r="A670" s="2">
        <f>HYPERLINK("https://www.cadth.ca/teduglutide-0", "Revestive")</f>
        <v>0</v>
      </c>
      <c r="B670" t="inlineStr">
        <is>
          <t>teduglutide</t>
        </is>
      </c>
      <c r="C670" t="inlineStr">
        <is>
          <t>Short Bowel Syndrome (SBS), pediatrics</t>
        </is>
      </c>
      <c r="D670" t="inlineStr">
        <is>
          <t>Reimburse with clinical criteria and/or conditions</t>
        </is>
      </c>
      <c r="E670" t="inlineStr">
        <is>
          <t>Complete</t>
        </is>
      </c>
      <c r="F670" s="3">
        <v>43614</v>
      </c>
      <c r="G670" s="3">
        <v>43788</v>
      </c>
      <c r="H670" t="inlineStr">
        <is>
          <t>SR0606-000</t>
        </is>
      </c>
      <c r="N670" t="inlineStr">
        <is>
          <t>Shire Pharmaceuticals Ireland Limited</t>
        </is>
      </c>
      <c r="Q670" t="inlineStr">
        <is>
          <t>Initial</t>
        </is>
      </c>
    </row>
    <row r="671">
      <c r="A671" s="2">
        <f>HYPERLINK("https://www.cadth.ca/teduglutide", "Revestive")</f>
        <v>0</v>
      </c>
      <c r="B671" t="inlineStr">
        <is>
          <t>Teduglutide</t>
        </is>
      </c>
      <c r="C671" t="inlineStr">
        <is>
          <t>Short Bowel Syndrome (SBS)</t>
        </is>
      </c>
      <c r="D671" t="inlineStr">
        <is>
          <t>Reimburse with clinical criteria and/or conditions</t>
        </is>
      </c>
      <c r="E671" t="inlineStr">
        <is>
          <t>Complete</t>
        </is>
      </c>
      <c r="F671" s="3">
        <v>42334</v>
      </c>
      <c r="G671" s="3">
        <v>42578</v>
      </c>
      <c r="H671" t="inlineStr">
        <is>
          <t>SR0459-000</t>
        </is>
      </c>
      <c r="N671" t="inlineStr">
        <is>
          <t>Shire Pharma Canada ULC/NPS Pharma Holdings Limited</t>
        </is>
      </c>
      <c r="Q671" t="inlineStr">
        <is>
          <t>Initial</t>
        </is>
      </c>
    </row>
    <row r="672">
      <c r="A672" s="2">
        <f>HYPERLINK("https://www.cadth.ca/eltrombopag-olamine-6", "Revolade")</f>
        <v>0</v>
      </c>
      <c r="B672" t="inlineStr">
        <is>
          <t>Eltrombopag olamine</t>
        </is>
      </c>
      <c r="C672" t="inlineStr">
        <is>
          <t>Thrombocytopenic purpura chronic immune (idiopathic)</t>
        </is>
      </c>
      <c r="D672" t="inlineStr">
        <is>
          <t>Do not list</t>
        </is>
      </c>
      <c r="E672" t="inlineStr">
        <is>
          <t>Complete</t>
        </is>
      </c>
      <c r="F672" s="3">
        <v>40659</v>
      </c>
      <c r="G672" s="3">
        <v>40840</v>
      </c>
      <c r="H672" t="inlineStr">
        <is>
          <t>S0230</t>
        </is>
      </c>
      <c r="N672" t="inlineStr">
        <is>
          <t>GlaxoSmithKline</t>
        </is>
      </c>
      <c r="Q672" t="inlineStr">
        <is>
          <t>Initial</t>
        </is>
      </c>
    </row>
    <row r="673">
      <c r="A673" s="2">
        <f>HYPERLINK("https://www.cadth.ca/eltrombopag-6", "Revolade")</f>
        <v>0</v>
      </c>
      <c r="B673" t="inlineStr">
        <is>
          <t>eltrombopag</t>
        </is>
      </c>
      <c r="C673" t="inlineStr">
        <is>
          <t>Severe aplastic anemia</t>
        </is>
      </c>
      <c r="D673" t="inlineStr">
        <is>
          <t>CADTH is unable to recommend reimbursement as a submission was not filed by the manufacturer</t>
        </is>
      </c>
      <c r="E673" t="inlineStr">
        <is>
          <t>NotFiled</t>
        </is>
      </c>
      <c r="N673" t="inlineStr">
        <is>
          <t>Novartis Pharmaceuticals Canada Inc.</t>
        </is>
      </c>
      <c r="Q673" t="inlineStr">
        <is>
          <t>Non-submission</t>
        </is>
      </c>
    </row>
    <row r="674">
      <c r="A674" s="2">
        <f>HYPERLINK("https://www.cadth.ca/eltrombopag-4", "Revolade")</f>
        <v>0</v>
      </c>
      <c r="B674" t="inlineStr">
        <is>
          <t>Eltrombopag</t>
        </is>
      </c>
      <c r="C674" t="inlineStr">
        <is>
          <t>Thrombocytopenia associated with chronic hepatitis c infection</t>
        </is>
      </c>
      <c r="D674" t="inlineStr">
        <is>
          <t>List with criteria/condition</t>
        </is>
      </c>
      <c r="E674" t="inlineStr">
        <is>
          <t>Complete</t>
        </is>
      </c>
      <c r="F674" s="3">
        <v>41729</v>
      </c>
      <c r="G674" s="3">
        <v>42081</v>
      </c>
      <c r="H674" t="inlineStr">
        <is>
          <t>SR0377</t>
        </is>
      </c>
      <c r="N674" t="inlineStr">
        <is>
          <t>GlaxoSmithKline</t>
        </is>
      </c>
      <c r="Q674" t="inlineStr">
        <is>
          <t>New Indication</t>
        </is>
      </c>
    </row>
    <row r="675">
      <c r="A675" s="2">
        <f>HYPERLINK("https://www.cadth.ca/brexpiprazole", "Rexulti")</f>
        <v>0</v>
      </c>
      <c r="B675" t="inlineStr">
        <is>
          <t>Brexpiprazole</t>
        </is>
      </c>
      <c r="C675" t="inlineStr">
        <is>
          <t>Schizophrenia</t>
        </is>
      </c>
      <c r="D675" t="inlineStr">
        <is>
          <t>Reimburse with clinical criteria and/or conditions</t>
        </is>
      </c>
      <c r="E675" t="inlineStr">
        <is>
          <t>Complete</t>
        </is>
      </c>
      <c r="F675" s="3">
        <v>42769</v>
      </c>
      <c r="G675" s="3">
        <v>43061</v>
      </c>
      <c r="H675" t="inlineStr">
        <is>
          <t>SR0514-000</t>
        </is>
      </c>
      <c r="N675" t="inlineStr">
        <is>
          <t>Otsuka-Lundbeck</t>
        </is>
      </c>
      <c r="Q675" t="inlineStr">
        <is>
          <t>Initial</t>
        </is>
      </c>
    </row>
    <row r="676">
      <c r="A676" s="2">
        <f>HYPERLINK("https://www.cadth.ca/atazanavir-5", "Reyataz")</f>
        <v>0</v>
      </c>
      <c r="B676" t="inlineStr">
        <is>
          <t>Atazanavir</t>
        </is>
      </c>
      <c r="C676" t="inlineStr">
        <is>
          <t>HIV infection</t>
        </is>
      </c>
      <c r="D676" t="inlineStr">
        <is>
          <t>List in a similar manner to other drugs in class</t>
        </is>
      </c>
      <c r="E676" t="inlineStr">
        <is>
          <t>Complete</t>
        </is>
      </c>
      <c r="F676" s="3">
        <v>37971</v>
      </c>
      <c r="G676" s="3">
        <v>38134</v>
      </c>
      <c r="H676" t="inlineStr">
        <is>
          <t>S0002</t>
        </is>
      </c>
      <c r="N676" t="inlineStr">
        <is>
          <t>Bristol Myers Squibb</t>
        </is>
      </c>
      <c r="Q676" t="inlineStr">
        <is>
          <t>Initial</t>
        </is>
      </c>
    </row>
    <row r="677">
      <c r="A677" s="2">
        <f>HYPERLINK("https://www.cadth.ca/upadacitinib", "Rinvoq")</f>
        <v>0</v>
      </c>
      <c r="B677" t="inlineStr">
        <is>
          <t>upadacitinib</t>
        </is>
      </c>
      <c r="C677" t="inlineStr">
        <is>
          <t>Arthritis, Rheumatoid</t>
        </is>
      </c>
      <c r="D677" t="inlineStr">
        <is>
          <t>Reimburse with clinical criteria and/or conditions</t>
        </is>
      </c>
      <c r="E677" t="inlineStr">
        <is>
          <t>Complete</t>
        </is>
      </c>
      <c r="F677" s="3">
        <v>43650</v>
      </c>
      <c r="G677" s="3">
        <v>43865</v>
      </c>
      <c r="H677" t="inlineStr">
        <is>
          <t>SR0614-000</t>
        </is>
      </c>
      <c r="N677" t="inlineStr">
        <is>
          <t>AbbVie</t>
        </is>
      </c>
      <c r="Q677" t="inlineStr">
        <is>
          <t>Initial</t>
        </is>
      </c>
    </row>
    <row r="678">
      <c r="A678" s="2">
        <f>HYPERLINK("https://www.cadth.ca/rituximab-13", "Rituxan")</f>
        <v>0</v>
      </c>
      <c r="B678" t="inlineStr">
        <is>
          <t>Rituximab</t>
        </is>
      </c>
      <c r="C678" t="inlineStr">
        <is>
          <t>Arthritis, Rheumatoid</t>
        </is>
      </c>
      <c r="D678" t="inlineStr">
        <is>
          <t>List with clinical criteria and/or conditions</t>
        </is>
      </c>
      <c r="E678" t="inlineStr">
        <is>
          <t>Complete</t>
        </is>
      </c>
      <c r="F678" s="3">
        <v>38894</v>
      </c>
      <c r="G678" s="3">
        <v>39127</v>
      </c>
      <c r="H678" t="inlineStr">
        <is>
          <t>S0068</t>
        </is>
      </c>
      <c r="N678" t="inlineStr">
        <is>
          <t>Hoffmann-La Roche Limited</t>
        </is>
      </c>
      <c r="Q678" t="inlineStr">
        <is>
          <t>Initial</t>
        </is>
      </c>
    </row>
    <row r="679">
      <c r="A679" s="2">
        <f>HYPERLINK("https://www.cadth.ca/rituximab-14", "Rituxan")</f>
        <v>0</v>
      </c>
      <c r="B679" t="inlineStr">
        <is>
          <t>Rituximab</t>
        </is>
      </c>
      <c r="C679" t="inlineStr">
        <is>
          <t>Granulomatosis with Polyangiitis (GPA) and Microscopic Polyangiitis (MPA), remission induction (adults)</t>
        </is>
      </c>
      <c r="D679" t="inlineStr">
        <is>
          <t>List with clinical criteria and/or conditions</t>
        </is>
      </c>
      <c r="E679" t="inlineStr">
        <is>
          <t>Complete</t>
        </is>
      </c>
      <c r="F679" s="3">
        <v>40963</v>
      </c>
      <c r="G679" s="3">
        <v>41137</v>
      </c>
      <c r="H679" t="inlineStr">
        <is>
          <t>SR0270</t>
        </is>
      </c>
      <c r="N679" t="inlineStr">
        <is>
          <t>Hoffman-La Roche Ltd.</t>
        </is>
      </c>
      <c r="Q679" t="inlineStr">
        <is>
          <t>New Indication</t>
        </is>
      </c>
    </row>
    <row r="680">
      <c r="A680" s="2">
        <f>HYPERLINK("https://www.cadth.ca/ivermectin", "Rosiver")</f>
        <v>0</v>
      </c>
      <c r="B680" t="inlineStr">
        <is>
          <t>Ivermectin</t>
        </is>
      </c>
      <c r="C680" t="inlineStr">
        <is>
          <t>Rosacea</t>
        </is>
      </c>
      <c r="D680" t="inlineStr">
        <is>
          <t>List with criteria/condition</t>
        </is>
      </c>
      <c r="E680" t="inlineStr">
        <is>
          <t>Complete</t>
        </is>
      </c>
      <c r="F680" s="3">
        <v>42124</v>
      </c>
      <c r="G680" s="3">
        <v>42327</v>
      </c>
      <c r="H680" t="inlineStr">
        <is>
          <t>SR0429-000</t>
        </is>
      </c>
      <c r="N680" t="inlineStr">
        <is>
          <t>Galderma Canada Inc.</t>
        </is>
      </c>
      <c r="Q680" t="inlineStr">
        <is>
          <t>Initial</t>
        </is>
      </c>
    </row>
    <row r="681">
      <c r="A681" s="2">
        <f>HYPERLINK("https://www.cadth.ca/amifampridine", "Ruzurgi")</f>
        <v>0</v>
      </c>
      <c r="B681" t="inlineStr">
        <is>
          <t>amifampridine</t>
        </is>
      </c>
      <c r="C681" t="inlineStr">
        <is>
          <t>Indicated for the symptomatic treatment of Lambert-Eaton myasthenic syndrome (LEMS) in patients 6 years of age and older.</t>
        </is>
      </c>
      <c r="E681" t="inlineStr">
        <is>
          <t>Active</t>
        </is>
      </c>
      <c r="F681" s="3">
        <v>44109</v>
      </c>
      <c r="H681" t="inlineStr">
        <is>
          <t>SR0660-000</t>
        </is>
      </c>
      <c r="N681" t="inlineStr">
        <is>
          <t>Médunik Canada Inc.</t>
        </is>
      </c>
      <c r="Q681" t="inlineStr">
        <is>
          <t>Initial</t>
        </is>
      </c>
    </row>
    <row r="682">
      <c r="A682" s="2">
        <f>HYPERLINK("https://www.cadth.ca/semaglutide-0", "Rybelsus")</f>
        <v>0</v>
      </c>
      <c r="B682" t="inlineStr">
        <is>
          <t>semaglutide</t>
        </is>
      </c>
      <c r="C682" t="inlineStr">
        <is>
          <t>As an adjunct to diet and exercise to improve glycemic control in adults with type 2 diabetes mellitus:    as monotherapy when metformin is considered inappropriate due to intolerance or contraindications;   in combination with other medicinal products for the treatment of diabetes</t>
        </is>
      </c>
      <c r="E682" t="inlineStr">
        <is>
          <t>Pending</t>
        </is>
      </c>
      <c r="H682" t="inlineStr">
        <is>
          <t>SR0637-000</t>
        </is>
      </c>
      <c r="N682" t="inlineStr">
        <is>
          <t>Novo Nordisk Canada Inc.</t>
        </is>
      </c>
      <c r="Q682" t="inlineStr">
        <is>
          <t>Initial</t>
        </is>
      </c>
    </row>
    <row r="683">
      <c r="A683" s="2">
        <f>HYPERLINK("https://www.cadth.ca/tolvaptan-6", "Samsca")</f>
        <v>0</v>
      </c>
      <c r="B683" t="inlineStr">
        <is>
          <t>Tolvaptan</t>
        </is>
      </c>
      <c r="C683" t="inlineStr">
        <is>
          <t>Hyponatremia, non-hypovolemic</t>
        </is>
      </c>
      <c r="D683" t="inlineStr">
        <is>
          <t>Do not list</t>
        </is>
      </c>
      <c r="E683" t="inlineStr">
        <is>
          <t>Complete</t>
        </is>
      </c>
      <c r="F683" s="3">
        <v>41093</v>
      </c>
      <c r="G683" s="3">
        <v>41318</v>
      </c>
      <c r="H683" t="inlineStr">
        <is>
          <t>SR0283</t>
        </is>
      </c>
      <c r="N683" t="inlineStr">
        <is>
          <t>Otsuka Canada Pharmaceutical Inc.</t>
        </is>
      </c>
      <c r="Q683" t="inlineStr">
        <is>
          <t>Initial</t>
        </is>
      </c>
    </row>
    <row r="684">
      <c r="A684" s="2">
        <f>HYPERLINK("https://www.cadth.ca/asenapine-12", "Saphris")</f>
        <v>0</v>
      </c>
      <c r="B684" t="inlineStr">
        <is>
          <t>Asenapine</t>
        </is>
      </c>
      <c r="C684" t="inlineStr">
        <is>
          <t>Schizophrenia</t>
        </is>
      </c>
      <c r="D684" t="inlineStr">
        <is>
          <t>Do not list</t>
        </is>
      </c>
      <c r="E684" t="inlineStr">
        <is>
          <t>Complete</t>
        </is>
      </c>
      <c r="F684" s="3">
        <v>40889</v>
      </c>
      <c r="G684" s="3">
        <v>41074</v>
      </c>
      <c r="H684" t="inlineStr">
        <is>
          <t>S0262-000</t>
        </is>
      </c>
      <c r="N684" t="inlineStr">
        <is>
          <t>Lundbeck Canada Inc.</t>
        </is>
      </c>
      <c r="Q684" t="inlineStr">
        <is>
          <t>Initial</t>
        </is>
      </c>
    </row>
    <row r="685">
      <c r="A685" s="2">
        <f>HYPERLINK("https://www.cadth.ca/asenapine-13", "Saphris")</f>
        <v>0</v>
      </c>
      <c r="B685" t="inlineStr">
        <is>
          <t>Asenapine</t>
        </is>
      </c>
      <c r="C685" t="inlineStr">
        <is>
          <t>Bipolar I disorder</t>
        </is>
      </c>
      <c r="D685" t="inlineStr">
        <is>
          <t>List with clinical criteria and/or conditions</t>
        </is>
      </c>
      <c r="E685" t="inlineStr">
        <is>
          <t>Complete</t>
        </is>
      </c>
      <c r="F685" s="3">
        <v>40889</v>
      </c>
      <c r="G685" s="3">
        <v>41074</v>
      </c>
      <c r="H685" t="inlineStr">
        <is>
          <t>S0262-001</t>
        </is>
      </c>
      <c r="N685" t="inlineStr">
        <is>
          <t>Lundbeck Canada Inc.</t>
        </is>
      </c>
      <c r="Q685" t="inlineStr">
        <is>
          <t>Initial</t>
        </is>
      </c>
    </row>
    <row r="686">
      <c r="A686" s="2">
        <f>HYPERLINK("https://www.cadth.ca/delta-9-tetrahydrocannabinolcannabidiol-13", "Sativex")</f>
        <v>0</v>
      </c>
      <c r="B686" t="inlineStr">
        <is>
          <t>Delta-9-tetrahydrocannabinol/cannabidiol</t>
        </is>
      </c>
      <c r="C686" t="inlineStr">
        <is>
          <t>Pain, Neuropathic (adjunctive) in MS.</t>
        </is>
      </c>
      <c r="D686" t="inlineStr">
        <is>
          <t>Do not list</t>
        </is>
      </c>
      <c r="E686" t="inlineStr">
        <is>
          <t>Complete</t>
        </is>
      </c>
      <c r="F686" s="3">
        <v>39140</v>
      </c>
      <c r="G686" s="3">
        <v>39351</v>
      </c>
      <c r="H686" t="inlineStr">
        <is>
          <t>S0092</t>
        </is>
      </c>
      <c r="N686" t="inlineStr">
        <is>
          <t>GW  Pharma Ltd.</t>
        </is>
      </c>
      <c r="Q686" t="inlineStr">
        <is>
          <t>Initial</t>
        </is>
      </c>
    </row>
    <row r="687">
      <c r="A687" s="2">
        <f>HYPERLINK("https://www.cadth.ca/delta-9-tetrahydrocannabinolcannabidiol-14", "Sativex")</f>
        <v>0</v>
      </c>
      <c r="B687" t="inlineStr">
        <is>
          <t>Delta-9-tetrahydrocannabinol/cannabidiol</t>
        </is>
      </c>
      <c r="C687" t="inlineStr">
        <is>
          <t>Pain, cancer (adjunctive analgesia to maximum tolerated strong opioids)</t>
        </is>
      </c>
      <c r="D687" t="inlineStr">
        <is>
          <t>Do not list</t>
        </is>
      </c>
      <c r="E687" t="inlineStr">
        <is>
          <t>Complete</t>
        </is>
      </c>
      <c r="F687" s="3">
        <v>39301</v>
      </c>
      <c r="G687" s="3">
        <v>39498</v>
      </c>
      <c r="H687" t="inlineStr">
        <is>
          <t>S0106</t>
        </is>
      </c>
      <c r="N687" t="inlineStr">
        <is>
          <t>GW  Pharma Ltd.</t>
        </is>
      </c>
      <c r="Q687" t="inlineStr">
        <is>
          <t>Resubmission</t>
        </is>
      </c>
    </row>
    <row r="688">
      <c r="A688" s="2">
        <f>HYPERLINK("https://www.cadth.ca/telbivudine-6", "Sebivo")</f>
        <v>0</v>
      </c>
      <c r="B688" t="inlineStr">
        <is>
          <t>Telbivudine</t>
        </is>
      </c>
      <c r="C688" t="inlineStr">
        <is>
          <t>Hepatitis B (chronic)</t>
        </is>
      </c>
      <c r="D688" t="inlineStr">
        <is>
          <t>Do not list</t>
        </is>
      </c>
      <c r="E688" t="inlineStr">
        <is>
          <t>Complete</t>
        </is>
      </c>
      <c r="F688" s="3">
        <v>39055</v>
      </c>
      <c r="G688" s="3">
        <v>39351</v>
      </c>
      <c r="H688" t="inlineStr">
        <is>
          <t>S0088</t>
        </is>
      </c>
      <c r="N688" t="inlineStr">
        <is>
          <t>Novartis Pharmaceuticals Canada Inc.</t>
        </is>
      </c>
      <c r="Q688" t="inlineStr">
        <is>
          <t>Initial</t>
        </is>
      </c>
    </row>
    <row r="689">
      <c r="A689" s="2">
        <f>HYPERLINK("https://www.cadth.ca/glycopyrronium-bromide-6", "Seebri")</f>
        <v>0</v>
      </c>
      <c r="B689" t="inlineStr">
        <is>
          <t>Glycopyrronium bromide</t>
        </is>
      </c>
      <c r="C689" t="inlineStr">
        <is>
          <t>Chronic Obstructive Pulmonary Disease (COPD), maintenance bronchodilator treatment</t>
        </is>
      </c>
      <c r="D689" t="inlineStr">
        <is>
          <t>List with criteria/condition</t>
        </is>
      </c>
      <c r="E689" t="inlineStr">
        <is>
          <t>Complete</t>
        </is>
      </c>
      <c r="F689" s="3">
        <v>41243</v>
      </c>
      <c r="G689" s="3">
        <v>41409</v>
      </c>
      <c r="H689" t="inlineStr">
        <is>
          <t>SR0300</t>
        </is>
      </c>
      <c r="N689" t="inlineStr">
        <is>
          <t>Novartis Pharmaceuticals Canada Inc.</t>
        </is>
      </c>
      <c r="Q689" t="inlineStr">
        <is>
          <t>Initial</t>
        </is>
      </c>
    </row>
    <row r="690">
      <c r="A690" s="2">
        <f>HYPERLINK("https://www.cadth.ca/ertugliflozin-and-metformin", "Segluromet")</f>
        <v>0</v>
      </c>
      <c r="B690" t="inlineStr">
        <is>
          <t>ertugliflozin and metformin hydrochloride</t>
        </is>
      </c>
      <c r="C690" t="inlineStr">
        <is>
          <t>Diabetes mellitus, Type 2</t>
        </is>
      </c>
      <c r="D690" t="inlineStr">
        <is>
          <t>Do not reimburse</t>
        </is>
      </c>
      <c r="E690" t="inlineStr">
        <is>
          <t>Complete</t>
        </is>
      </c>
      <c r="F690" s="3">
        <v>43220</v>
      </c>
      <c r="G690" s="3">
        <v>43488</v>
      </c>
      <c r="H690" t="inlineStr">
        <is>
          <t>SR0566-000</t>
        </is>
      </c>
      <c r="N690" t="inlineStr">
        <is>
          <t>Merck Canada Inc.</t>
        </is>
      </c>
      <c r="Q690" t="inlineStr">
        <is>
          <t>New Combination</t>
        </is>
      </c>
    </row>
    <row r="691">
      <c r="A691" s="2">
        <f>HYPERLINK("https://www.cadth.ca/insulin-glargine-0", "Semglee")</f>
        <v>0</v>
      </c>
      <c r="B691" t="inlineStr">
        <is>
          <t>insulin glargine</t>
        </is>
      </c>
      <c r="C691" t="inlineStr">
        <is>
          <t>Diabetes mellitus, Type 1 &amp; 2</t>
        </is>
      </c>
      <c r="E691" t="inlineStr">
        <is>
          <t>Withdrawn</t>
        </is>
      </c>
      <c r="F691" s="3">
        <v>43418</v>
      </c>
      <c r="H691" t="inlineStr">
        <is>
          <t>SE0589-000</t>
        </is>
      </c>
      <c r="N691" t="inlineStr">
        <is>
          <t>BGP PHARMA ULC</t>
        </is>
      </c>
      <c r="Q691" t="inlineStr">
        <is>
          <t>Initial</t>
        </is>
      </c>
    </row>
    <row r="692">
      <c r="A692" s="2">
        <f>HYPERLINK("https://www.cadth.ca/cinacalcet-hydrochloride-4", "Sensipar")</f>
        <v>0</v>
      </c>
      <c r="B692" t="inlineStr">
        <is>
          <t>Cinacalcet hydrochloride</t>
        </is>
      </c>
      <c r="C692" t="inlineStr">
        <is>
          <t>Secondary hyper-parathyroidism in chronic kidney disease</t>
        </is>
      </c>
      <c r="D692" t="inlineStr">
        <is>
          <t>Do not list</t>
        </is>
      </c>
      <c r="E692" t="inlineStr">
        <is>
          <t>Complete</t>
        </is>
      </c>
      <c r="F692" s="3">
        <v>38219</v>
      </c>
      <c r="G692" s="3">
        <v>38434</v>
      </c>
      <c r="H692" t="inlineStr">
        <is>
          <t>S0018</t>
        </is>
      </c>
      <c r="N692" t="inlineStr">
        <is>
          <t>Amgen Canada Inc.</t>
        </is>
      </c>
      <c r="Q692" t="inlineStr">
        <is>
          <t>Initial</t>
        </is>
      </c>
    </row>
    <row r="693">
      <c r="A693" s="2">
        <f>HYPERLINK("https://www.cadth.ca/pasireotide-diaspartate", "Signifor")</f>
        <v>0</v>
      </c>
      <c r="B693" t="inlineStr">
        <is>
          <t>Pasireotide diaspartate</t>
        </is>
      </c>
      <c r="C693" t="inlineStr">
        <is>
          <t>Cushing’s Disease</t>
        </is>
      </c>
      <c r="D693" t="inlineStr">
        <is>
          <t>Do not list</t>
        </is>
      </c>
      <c r="E693" t="inlineStr">
        <is>
          <t>Complete</t>
        </is>
      </c>
      <c r="F693" s="3">
        <v>41697</v>
      </c>
      <c r="G693" s="3">
        <v>42059</v>
      </c>
      <c r="H693" t="inlineStr">
        <is>
          <t>SR0372-000</t>
        </is>
      </c>
      <c r="N693" t="inlineStr">
        <is>
          <t>Novartis Pharmaceuticals Inc.</t>
        </is>
      </c>
      <c r="Q693" t="inlineStr">
        <is>
          <t>Initial</t>
        </is>
      </c>
    </row>
    <row r="694">
      <c r="A694" s="2">
        <f>HYPERLINK("https://www.cadth.ca/brodalumab", "Siliq")</f>
        <v>0</v>
      </c>
      <c r="B694" t="inlineStr">
        <is>
          <t>brodalumab</t>
        </is>
      </c>
      <c r="C694" t="inlineStr">
        <is>
          <t>Psoriasis, moderate to severe plaque</t>
        </is>
      </c>
      <c r="D694" t="inlineStr">
        <is>
          <t>Reimburse with clinical criteria and/or conditions</t>
        </is>
      </c>
      <c r="E694" t="inlineStr">
        <is>
          <t>Complete</t>
        </is>
      </c>
      <c r="F694" s="3">
        <v>43083</v>
      </c>
      <c r="G694" s="3">
        <v>43271</v>
      </c>
      <c r="H694" t="inlineStr">
        <is>
          <t>SR0547-000</t>
        </is>
      </c>
      <c r="N694" t="inlineStr">
        <is>
          <t>Valeant Canada LP</t>
        </is>
      </c>
      <c r="Q694" t="inlineStr">
        <is>
          <t>Initial</t>
        </is>
      </c>
    </row>
    <row r="695">
      <c r="A695" s="2">
        <f>HYPERLINK("https://www.cadth.ca/calcitriol-6", "Silkis")</f>
        <v>0</v>
      </c>
      <c r="B695" t="inlineStr">
        <is>
          <t>Calcitriol</t>
        </is>
      </c>
      <c r="C695" t="inlineStr">
        <is>
          <t>Psoriasis, mild to moderate plaque</t>
        </is>
      </c>
      <c r="D695" t="inlineStr">
        <is>
          <t>Do not list</t>
        </is>
      </c>
      <c r="E695" t="inlineStr">
        <is>
          <t>Complete</t>
        </is>
      </c>
      <c r="F695" s="3">
        <v>40252</v>
      </c>
      <c r="G695" s="3">
        <v>40443</v>
      </c>
      <c r="H695" t="inlineStr">
        <is>
          <t>S0199</t>
        </is>
      </c>
      <c r="N695" t="inlineStr">
        <is>
          <t>Galderma Canada Inc.</t>
        </is>
      </c>
      <c r="Q695" t="inlineStr">
        <is>
          <t>Initial</t>
        </is>
      </c>
    </row>
    <row r="696">
      <c r="A696" s="2">
        <f>HYPERLINK("https://www.cadth.ca/brinzolamide-brimonidine-4", "Simbrinza")</f>
        <v>0</v>
      </c>
      <c r="B696" t="inlineStr">
        <is>
          <t>Brinzolamide / brimonidine</t>
        </is>
      </c>
      <c r="C696" t="inlineStr">
        <is>
          <t>Glaucoma and ocular hypertension</t>
        </is>
      </c>
      <c r="D696" t="inlineStr">
        <is>
          <t>List</t>
        </is>
      </c>
      <c r="E696" t="inlineStr">
        <is>
          <t>Complete</t>
        </is>
      </c>
      <c r="F696" s="3">
        <v>41946</v>
      </c>
      <c r="G696" s="3">
        <v>42172</v>
      </c>
      <c r="H696" t="inlineStr">
        <is>
          <t>SR0403-000</t>
        </is>
      </c>
      <c r="N696" t="inlineStr">
        <is>
          <t>Alcon Canada Inc.</t>
        </is>
      </c>
      <c r="Q696" t="inlineStr">
        <is>
          <t>Pre-NOC</t>
        </is>
      </c>
    </row>
    <row r="697">
      <c r="A697" s="2">
        <f>HYPERLINK("https://www.cadth.ca/golimumab-35", "Simponi")</f>
        <v>0</v>
      </c>
      <c r="B697" t="inlineStr">
        <is>
          <t>Golimumab</t>
        </is>
      </c>
      <c r="C697" t="inlineStr">
        <is>
          <t>Arthritis, psoriatic</t>
        </is>
      </c>
      <c r="D697" t="inlineStr">
        <is>
          <t>List in a similar manner</t>
        </is>
      </c>
      <c r="E697" t="inlineStr">
        <is>
          <t>Complete</t>
        </is>
      </c>
      <c r="F697" s="3">
        <v>40059</v>
      </c>
      <c r="G697" s="3">
        <v>40254</v>
      </c>
      <c r="H697" t="inlineStr">
        <is>
          <t>S0195</t>
        </is>
      </c>
      <c r="N697" t="inlineStr">
        <is>
          <t>Centocor Inc.</t>
        </is>
      </c>
      <c r="Q697" t="inlineStr">
        <is>
          <t>Initial</t>
        </is>
      </c>
    </row>
    <row r="698">
      <c r="A698" s="2">
        <f>HYPERLINK("https://www.cadth.ca/golimumab-36", "Simponi")</f>
        <v>0</v>
      </c>
      <c r="B698" t="inlineStr">
        <is>
          <t>Golimumab</t>
        </is>
      </c>
      <c r="C698" t="inlineStr">
        <is>
          <t>Ankylosing spondylitis</t>
        </is>
      </c>
      <c r="D698" t="inlineStr">
        <is>
          <t>List in a similar manner</t>
        </is>
      </c>
      <c r="E698" t="inlineStr">
        <is>
          <t>Complete</t>
        </is>
      </c>
      <c r="F698" s="3">
        <v>40059</v>
      </c>
      <c r="G698" s="3">
        <v>40254</v>
      </c>
      <c r="H698" t="inlineStr">
        <is>
          <t>S0196</t>
        </is>
      </c>
      <c r="N698" t="inlineStr">
        <is>
          <t>Centocor Inc.</t>
        </is>
      </c>
      <c r="Q698" t="inlineStr">
        <is>
          <t>Initial</t>
        </is>
      </c>
    </row>
    <row r="699">
      <c r="A699" s="2">
        <f>HYPERLINK("https://www.cadth.ca/golimumab-37", "Simponi")</f>
        <v>0</v>
      </c>
      <c r="B699" t="inlineStr">
        <is>
          <t>Golimumab</t>
        </is>
      </c>
      <c r="C699" t="inlineStr">
        <is>
          <t>Ulcerative colitis</t>
        </is>
      </c>
      <c r="D699" t="inlineStr">
        <is>
          <t>Do not list at the submitted price</t>
        </is>
      </c>
      <c r="E699" t="inlineStr">
        <is>
          <t>Complete</t>
        </is>
      </c>
      <c r="F699" s="3">
        <v>41467</v>
      </c>
      <c r="G699" s="3">
        <v>41717</v>
      </c>
      <c r="H699" t="inlineStr">
        <is>
          <t>SR0341</t>
        </is>
      </c>
      <c r="N699" t="inlineStr">
        <is>
          <t>Janssen Inc.</t>
        </is>
      </c>
      <c r="Q699" t="inlineStr">
        <is>
          <t>Pre-NOC</t>
        </is>
      </c>
    </row>
    <row r="700">
      <c r="A700" s="2">
        <f>HYPERLINK("https://www.cadth.ca/golimumab-34", "Simponi")</f>
        <v>0</v>
      </c>
      <c r="B700" t="inlineStr">
        <is>
          <t>Golimumab</t>
        </is>
      </c>
      <c r="C700" t="inlineStr">
        <is>
          <t>Arthritis, Rheumatoid</t>
        </is>
      </c>
      <c r="D700" t="inlineStr">
        <is>
          <t>List in a similar manner</t>
        </is>
      </c>
      <c r="E700" t="inlineStr">
        <is>
          <t>Complete</t>
        </is>
      </c>
      <c r="F700" s="3">
        <v>40059</v>
      </c>
      <c r="G700" s="3">
        <v>40254</v>
      </c>
      <c r="H700" t="inlineStr">
        <is>
          <t>S0174</t>
        </is>
      </c>
      <c r="N700" t="inlineStr">
        <is>
          <t>Centocor Inc.</t>
        </is>
      </c>
      <c r="Q700" t="inlineStr">
        <is>
          <t>Initial</t>
        </is>
      </c>
    </row>
    <row r="701">
      <c r="A701" s="2">
        <f>HYPERLINK("https://www.cadth.ca/tedizolid-phosphate", "Sivextro")</f>
        <v>0</v>
      </c>
      <c r="B701" t="inlineStr">
        <is>
          <t>Tedizolid phosphate</t>
        </is>
      </c>
      <c r="C701" t="inlineStr">
        <is>
          <t>Acute bacterial skin and skin structure infections</t>
        </is>
      </c>
      <c r="E701" t="inlineStr">
        <is>
          <t>Withdrawn</t>
        </is>
      </c>
      <c r="F701" s="3">
        <v>42020</v>
      </c>
      <c r="H701" t="inlineStr">
        <is>
          <t>SR0413-000</t>
        </is>
      </c>
      <c r="N701" t="inlineStr">
        <is>
          <t>Cubist Pharmaceuticals Canada, Inc.</t>
        </is>
      </c>
      <c r="Q701" t="inlineStr">
        <is>
          <t>Pre-NOC</t>
        </is>
      </c>
    </row>
    <row r="702">
      <c r="A702" s="2">
        <f>HYPERLINK("https://www.cadth.ca/risankizumab", "Skyrizi")</f>
        <v>0</v>
      </c>
      <c r="B702" t="inlineStr">
        <is>
          <t>risankizumab</t>
        </is>
      </c>
      <c r="C702" t="inlineStr">
        <is>
          <t>Psoriasis, moderate to severe plaque</t>
        </is>
      </c>
      <c r="D702" t="inlineStr">
        <is>
          <t>Reimburse with clinical criteria and/or conditions</t>
        </is>
      </c>
      <c r="E702" t="inlineStr">
        <is>
          <t>Complete</t>
        </is>
      </c>
      <c r="F702" s="3">
        <v>43395</v>
      </c>
      <c r="G702" s="3">
        <v>43613</v>
      </c>
      <c r="H702" t="inlineStr">
        <is>
          <t>SR0583-000</t>
        </is>
      </c>
      <c r="N702" t="inlineStr">
        <is>
          <t>AbbVie Corporation</t>
        </is>
      </c>
      <c r="Q702" t="inlineStr">
        <is>
          <t>Initial</t>
        </is>
      </c>
    </row>
    <row r="703">
      <c r="A703" s="2">
        <f>HYPERLINK("https://www.cadth.ca/lixisenatide-insulin-glargine", "Soliqua")</f>
        <v>0</v>
      </c>
      <c r="B703" t="inlineStr">
        <is>
          <t>lixisenatide + insulin glargine</t>
        </is>
      </c>
      <c r="C703" t="inlineStr">
        <is>
          <t>Diabetes mellitus, Type 2</t>
        </is>
      </c>
      <c r="D703" t="inlineStr">
        <is>
          <t>Reimburse with clinical criteria and/or conditions</t>
        </is>
      </c>
      <c r="E703" t="inlineStr">
        <is>
          <t>Complete</t>
        </is>
      </c>
      <c r="F703" s="3">
        <v>43238</v>
      </c>
      <c r="G703" s="3">
        <v>43458</v>
      </c>
      <c r="H703" t="inlineStr">
        <is>
          <t>SR0564-000</t>
        </is>
      </c>
      <c r="N703" t="inlineStr">
        <is>
          <t>sanofi-aventis Canada Inc.</t>
        </is>
      </c>
      <c r="Q703" t="inlineStr">
        <is>
          <t>New Combination</t>
        </is>
      </c>
    </row>
    <row r="704">
      <c r="A704" s="2">
        <f>HYPERLINK("https://www.cadth.ca/eculizumab-13", "Soliris")</f>
        <v>0</v>
      </c>
      <c r="B704" t="inlineStr">
        <is>
          <t>Eculizumab</t>
        </is>
      </c>
      <c r="C704" t="inlineStr">
        <is>
          <t>Paroxysmal nocturnal hemoglobinuria (PNH)</t>
        </is>
      </c>
      <c r="D704" t="inlineStr">
        <is>
          <t>Do not list</t>
        </is>
      </c>
      <c r="E704" t="inlineStr">
        <is>
          <t>Complete</t>
        </is>
      </c>
      <c r="F704" s="3">
        <v>40074</v>
      </c>
      <c r="G704" s="3">
        <v>40227</v>
      </c>
      <c r="H704" t="inlineStr">
        <is>
          <t>S0176</t>
        </is>
      </c>
      <c r="N704" t="inlineStr">
        <is>
          <t>Alexion Pharmaceuticals Inc.</t>
        </is>
      </c>
      <c r="Q704" t="inlineStr">
        <is>
          <t>Initial</t>
        </is>
      </c>
    </row>
    <row r="705">
      <c r="A705" s="2">
        <f>HYPERLINK("https://www.cadth.ca/eculizumab-15", "Soliris")</f>
        <v>0</v>
      </c>
      <c r="B705" t="inlineStr">
        <is>
          <t>Eculizumab</t>
        </is>
      </c>
      <c r="C705" t="inlineStr">
        <is>
          <t>Hemolytic Uremic Syndrome, Atypical</t>
        </is>
      </c>
      <c r="E705" t="inlineStr">
        <is>
          <t>Complete</t>
        </is>
      </c>
      <c r="F705" s="3">
        <v>42044</v>
      </c>
      <c r="H705" t="inlineStr">
        <is>
          <t>SF0416-000</t>
        </is>
      </c>
      <c r="N705" t="inlineStr">
        <is>
          <t>Alexion Pharma Canada</t>
        </is>
      </c>
      <c r="Q705" t="inlineStr">
        <is>
          <t>Request For Advice</t>
        </is>
      </c>
    </row>
    <row r="706">
      <c r="A706" s="2">
        <f>HYPERLINK("https://www.cadth.ca/eculizumab-17", "Soliris")</f>
        <v>0</v>
      </c>
      <c r="B706" t="inlineStr">
        <is>
          <t>eculizumab</t>
        </is>
      </c>
      <c r="C706" t="inlineStr">
        <is>
          <t>For the treatment of neuromyelitis optica spectrum disorder (NMOSD) in adult patients who are anti-aquaporin-4 (AQP4) antibody positive.</t>
        </is>
      </c>
      <c r="D706" t="inlineStr">
        <is>
          <t>Reimburse with clinical criteria and/or conditions</t>
        </is>
      </c>
      <c r="E706" t="inlineStr">
        <is>
          <t>Complete</t>
        </is>
      </c>
      <c r="F706" s="3">
        <v>43886</v>
      </c>
      <c r="G706" s="3">
        <v>44062</v>
      </c>
      <c r="H706" t="inlineStr">
        <is>
          <t>SR0640-000</t>
        </is>
      </c>
      <c r="N706" t="inlineStr">
        <is>
          <t>Alexion Pharma Canada Corp.</t>
        </is>
      </c>
      <c r="Q706" t="inlineStr">
        <is>
          <t>Initial</t>
        </is>
      </c>
    </row>
    <row r="707">
      <c r="A707" s="2">
        <f>HYPERLINK("https://www.cadth.ca/eculizumab-16", "Soliris")</f>
        <v>0</v>
      </c>
      <c r="B707" t="inlineStr">
        <is>
          <t>eculizumab</t>
        </is>
      </c>
      <c r="C707" t="inlineStr">
        <is>
          <t>​Soliris is indicated in adult patients with generalized Myasthenia Gravis (gMG).</t>
        </is>
      </c>
      <c r="D707" t="inlineStr">
        <is>
          <t>Reimburse with clinical criteria and/or conditions</t>
        </is>
      </c>
      <c r="E707" t="inlineStr">
        <is>
          <t>Active</t>
        </is>
      </c>
      <c r="F707" s="3">
        <v>43922</v>
      </c>
      <c r="G707" s="3">
        <v>44123</v>
      </c>
      <c r="H707" t="inlineStr">
        <is>
          <t>SR0605-000</t>
        </is>
      </c>
      <c r="N707" t="inlineStr">
        <is>
          <t>Alexion Pharma Canada Corp.</t>
        </is>
      </c>
      <c r="Q707" t="inlineStr">
        <is>
          <t>Initial</t>
        </is>
      </c>
    </row>
    <row r="708">
      <c r="A708" s="2">
        <f>HYPERLINK("https://www.cadth.ca/eculizumab-14", "Soliris")</f>
        <v>0</v>
      </c>
      <c r="B708" t="inlineStr">
        <is>
          <t>Eculizumab</t>
        </is>
      </c>
      <c r="C708" t="inlineStr">
        <is>
          <t>Hemolytic Uremic Syndrome, Atypical</t>
        </is>
      </c>
      <c r="D708" t="inlineStr">
        <is>
          <t>Do not list</t>
        </is>
      </c>
      <c r="E708" t="inlineStr">
        <is>
          <t>Complete</t>
        </is>
      </c>
      <c r="F708" s="3">
        <v>41281</v>
      </c>
      <c r="G708" s="3">
        <v>41473</v>
      </c>
      <c r="H708" t="inlineStr">
        <is>
          <t>SR0304</t>
        </is>
      </c>
      <c r="N708" t="inlineStr">
        <is>
          <t>Alexion Pharma Canada</t>
        </is>
      </c>
      <c r="Q708" t="inlineStr">
        <is>
          <t>Pre-NOC</t>
        </is>
      </c>
    </row>
    <row r="709">
      <c r="A709" s="2">
        <f>HYPERLINK("https://www.cadth.ca/pegvisomant-6", "Somavert")</f>
        <v>0</v>
      </c>
      <c r="B709" t="inlineStr">
        <is>
          <t>Pegvisomant</t>
        </is>
      </c>
      <c r="C709" t="inlineStr">
        <is>
          <t>acromegaly</t>
        </is>
      </c>
      <c r="D709" t="inlineStr">
        <is>
          <t>Do not list</t>
        </is>
      </c>
      <c r="E709" t="inlineStr">
        <is>
          <t>Complete</t>
        </is>
      </c>
      <c r="F709" s="3">
        <v>38742</v>
      </c>
      <c r="G709" s="3">
        <v>38931</v>
      </c>
      <c r="H709" t="inlineStr">
        <is>
          <t>S0050</t>
        </is>
      </c>
      <c r="N709" t="inlineStr">
        <is>
          <t>Pfizer Canada Inc.</t>
        </is>
      </c>
      <c r="Q709" t="inlineStr">
        <is>
          <t>Initial</t>
        </is>
      </c>
    </row>
    <row r="710">
      <c r="A710" s="2">
        <f>HYPERLINK("https://www.cadth.ca/sofosbuvir-6", "Sovaldi")</f>
        <v>0</v>
      </c>
      <c r="B710" t="inlineStr">
        <is>
          <t>Sofosbuvir</t>
        </is>
      </c>
      <c r="C710" t="inlineStr">
        <is>
          <t>Hepatitis C, chronic</t>
        </is>
      </c>
      <c r="D710" t="inlineStr">
        <is>
          <t>List with criteria/condition</t>
        </is>
      </c>
      <c r="E710" t="inlineStr">
        <is>
          <t>Complete</t>
        </is>
      </c>
      <c r="F710" s="3">
        <v>41548</v>
      </c>
      <c r="G710" s="3">
        <v>41869</v>
      </c>
      <c r="H710" t="inlineStr">
        <is>
          <t>SR0356</t>
        </is>
      </c>
      <c r="N710" t="inlineStr">
        <is>
          <t>Gilead Sciences Canada Inc.</t>
        </is>
      </c>
      <c r="Q710" t="inlineStr">
        <is>
          <t>Pre-NOC</t>
        </is>
      </c>
    </row>
    <row r="711">
      <c r="A711" s="2">
        <f>HYPERLINK("https://www.cadth.ca/sofosbuvir-7", "Sovaldi")</f>
        <v>0</v>
      </c>
      <c r="B711" t="inlineStr">
        <is>
          <t>sofosbuvir</t>
        </is>
      </c>
      <c r="C711" t="inlineStr">
        <is>
          <t>Hepatitis C, chronic</t>
        </is>
      </c>
      <c r="D711" t="inlineStr">
        <is>
          <t>Reimburse with clinical criteria and/or conditions</t>
        </is>
      </c>
      <c r="E711" t="inlineStr">
        <is>
          <t>Complete</t>
        </is>
      </c>
      <c r="F711" s="3">
        <v>42375</v>
      </c>
      <c r="G711" s="3">
        <v>42508</v>
      </c>
      <c r="H711" t="inlineStr">
        <is>
          <t>SF0464-000</t>
        </is>
      </c>
      <c r="N711" t="inlineStr">
        <is>
          <t>Gilead Sciences Canada Inc.</t>
        </is>
      </c>
      <c r="Q711" t="inlineStr">
        <is>
          <t>Request For Advice</t>
        </is>
      </c>
    </row>
    <row r="712">
      <c r="A712" s="2">
        <f>HYPERLINK("https://www.cadth.ca/nusinersen", "Spinraza")</f>
        <v>0</v>
      </c>
      <c r="B712" t="inlineStr">
        <is>
          <t>nusinersen</t>
        </is>
      </c>
      <c r="C712" t="inlineStr">
        <is>
          <t>Spinal Muscular Atrophy</t>
        </is>
      </c>
      <c r="D712" t="inlineStr">
        <is>
          <t>Reimburse with clinical criteria and/or conditions</t>
        </is>
      </c>
      <c r="E712" t="inlineStr">
        <is>
          <t>Complete</t>
        </is>
      </c>
      <c r="F712" s="3">
        <v>42914</v>
      </c>
      <c r="G712" s="3">
        <v>43091</v>
      </c>
      <c r="H712" t="inlineStr">
        <is>
          <t>SR0525-000</t>
        </is>
      </c>
      <c r="N712" t="inlineStr">
        <is>
          <t>Biogen Canada Inc.</t>
        </is>
      </c>
      <c r="Q712" t="inlineStr">
        <is>
          <t>Initial</t>
        </is>
      </c>
    </row>
    <row r="713">
      <c r="A713" s="2">
        <f>HYPERLINK("https://www.cadth.ca/nusinersen-0", "Spinraza")</f>
        <v>0</v>
      </c>
      <c r="B713" t="inlineStr">
        <is>
          <t>Nusinersen</t>
        </is>
      </c>
      <c r="C713" t="inlineStr">
        <is>
          <t>Spinal Muscular Atrophy</t>
        </is>
      </c>
      <c r="D713" t="inlineStr">
        <is>
          <t>Reimburse with clinical criteria and/or conditions</t>
        </is>
      </c>
      <c r="E713" t="inlineStr">
        <is>
          <t>Complete</t>
        </is>
      </c>
      <c r="F713" s="3">
        <v>43305</v>
      </c>
      <c r="G713" s="3">
        <v>43523</v>
      </c>
      <c r="H713" t="inlineStr">
        <is>
          <t>SR0576-000</t>
        </is>
      </c>
      <c r="N713" t="inlineStr">
        <is>
          <t>Biogen Canada Inc.</t>
        </is>
      </c>
      <c r="Q713" t="inlineStr">
        <is>
          <t>Resubmission</t>
        </is>
      </c>
    </row>
    <row r="714">
      <c r="A714" s="2">
        <f>HYPERLINK("https://www.cadth.ca/esketamine-hydrochloride", "Spravato")</f>
        <v>0</v>
      </c>
      <c r="B714" t="inlineStr">
        <is>
          <t>esketamine hydrochloride</t>
        </is>
      </c>
      <c r="C714" t="inlineStr">
        <is>
          <t>Indicated in combination with a SSRI or SNRI, for the treatment of major depressive disorder in adults who have not responded adequately to at least two separate courses of treatment with different antidepressants, each of adequate dose and duration, in the current moderate to severe depressive episode.</t>
        </is>
      </c>
      <c r="E714" t="inlineStr">
        <is>
          <t>Active</t>
        </is>
      </c>
      <c r="F714" s="3">
        <v>43640</v>
      </c>
      <c r="H714" t="inlineStr">
        <is>
          <t>SR0621-000</t>
        </is>
      </c>
      <c r="N714" t="inlineStr">
        <is>
          <t>Janssen Inc.</t>
        </is>
      </c>
      <c r="Q714" t="inlineStr">
        <is>
          <t>Initial</t>
        </is>
      </c>
    </row>
    <row r="715">
      <c r="A715" s="2">
        <f>HYPERLINK("https://www.cadth.ca/posaconazole-6", "Spriafil")</f>
        <v>0</v>
      </c>
      <c r="B715" t="inlineStr">
        <is>
          <t>Posaconazole</t>
        </is>
      </c>
      <c r="C715" t="inlineStr">
        <is>
          <t>Aspergillus and Candida infections</t>
        </is>
      </c>
      <c r="D715" t="inlineStr">
        <is>
          <t>Do not list</t>
        </is>
      </c>
      <c r="E715" t="inlineStr">
        <is>
          <t>Complete</t>
        </is>
      </c>
      <c r="F715" s="3">
        <v>39226</v>
      </c>
      <c r="G715" s="3">
        <v>39477</v>
      </c>
      <c r="H715" t="inlineStr">
        <is>
          <t>S0097</t>
        </is>
      </c>
      <c r="N715" t="inlineStr">
        <is>
          <t>Schering-Plough Canada Inc.</t>
        </is>
      </c>
      <c r="Q715" t="inlineStr">
        <is>
          <t>Initial</t>
        </is>
      </c>
    </row>
    <row r="716">
      <c r="A716" s="2">
        <f>HYPERLINK("https://www.cadth.ca/carbidopa-levodopa-and-entacapone-6", "Stalevo")</f>
        <v>0</v>
      </c>
      <c r="B716" t="inlineStr">
        <is>
          <t>Carbidopa, levodopa and entacapone</t>
        </is>
      </c>
      <c r="C716" t="inlineStr">
        <is>
          <t>Parkinsons Disease</t>
        </is>
      </c>
      <c r="D716" t="inlineStr">
        <is>
          <t>List in a similar manner</t>
        </is>
      </c>
      <c r="E716" t="inlineStr">
        <is>
          <t>Complete</t>
        </is>
      </c>
      <c r="F716" s="3">
        <v>39553</v>
      </c>
      <c r="G716" s="3">
        <v>39737</v>
      </c>
      <c r="H716" t="inlineStr">
        <is>
          <t>S0131</t>
        </is>
      </c>
      <c r="N716" t="inlineStr">
        <is>
          <t>Novartis Pharmaceuticals Canada Inc.</t>
        </is>
      </c>
      <c r="Q716" t="inlineStr">
        <is>
          <t>Initial</t>
        </is>
      </c>
    </row>
    <row r="717">
      <c r="A717" s="2">
        <f>HYPERLINK("https://www.cadth.ca/ertugliflozin", "Steglatro")</f>
        <v>0</v>
      </c>
      <c r="B717" t="inlineStr">
        <is>
          <t>ertugliflozin</t>
        </is>
      </c>
      <c r="C717" t="inlineStr">
        <is>
          <t>Diabetes mellitus, Type 2</t>
        </is>
      </c>
      <c r="D717" t="inlineStr">
        <is>
          <t>Do not reimburse</t>
        </is>
      </c>
      <c r="E717" t="inlineStr">
        <is>
          <t>Complete</t>
        </is>
      </c>
      <c r="F717" s="3">
        <v>43220</v>
      </c>
      <c r="G717" s="3">
        <v>43488</v>
      </c>
      <c r="H717" t="inlineStr">
        <is>
          <t>SR0565-000</t>
        </is>
      </c>
      <c r="N717" t="inlineStr">
        <is>
          <t>Merck Canada Inc.</t>
        </is>
      </c>
      <c r="Q717" t="inlineStr">
        <is>
          <t>Initial</t>
        </is>
      </c>
    </row>
    <row r="718">
      <c r="A718" s="2">
        <f>HYPERLINK("https://www.cadth.ca/ustekinumab-13", "Stelara")</f>
        <v>0</v>
      </c>
      <c r="B718" t="inlineStr">
        <is>
          <t>Ustekinumab</t>
        </is>
      </c>
      <c r="C718" t="inlineStr">
        <is>
          <t>Psoriasis</t>
        </is>
      </c>
      <c r="D718" t="inlineStr">
        <is>
          <t>List with clinical criteria and/or conditions</t>
        </is>
      </c>
      <c r="E718" t="inlineStr">
        <is>
          <t>Complete</t>
        </is>
      </c>
      <c r="F718" s="3">
        <v>39820</v>
      </c>
      <c r="G718" s="3">
        <v>39981</v>
      </c>
      <c r="H718" t="inlineStr">
        <is>
          <t>S0156</t>
        </is>
      </c>
      <c r="N718" t="inlineStr">
        <is>
          <t>Janssen-Ortho Inc.</t>
        </is>
      </c>
      <c r="Q718" t="inlineStr">
        <is>
          <t>Initial</t>
        </is>
      </c>
    </row>
    <row r="719">
      <c r="A719" s="2">
        <f>HYPERLINK("https://www.cadth.ca/ustekinumab-14", "Stelara")</f>
        <v>0</v>
      </c>
      <c r="B719" t="inlineStr">
        <is>
          <t>Ustekinumab</t>
        </is>
      </c>
      <c r="C719" t="inlineStr">
        <is>
          <t>Arthritis, Psoriatic</t>
        </is>
      </c>
      <c r="D719" t="inlineStr">
        <is>
          <t>Do not list at the submitted price</t>
        </is>
      </c>
      <c r="E719" t="inlineStr">
        <is>
          <t>Complete</t>
        </is>
      </c>
      <c r="F719" s="3">
        <v>41577</v>
      </c>
      <c r="G719" s="3">
        <v>41932</v>
      </c>
      <c r="H719" t="inlineStr">
        <is>
          <t>SR0359-000</t>
        </is>
      </c>
      <c r="N719" t="inlineStr">
        <is>
          <t>Janssen Inc.</t>
        </is>
      </c>
      <c r="Q719" t="inlineStr">
        <is>
          <t>Pre-NOC</t>
        </is>
      </c>
    </row>
    <row r="720">
      <c r="A720" s="2">
        <f>HYPERLINK("https://www.cadth.ca/atomoxetine-hydrochloride-9", "Strattera")</f>
        <v>0</v>
      </c>
      <c r="B720" t="inlineStr">
        <is>
          <t>Atomoxetine hydrochloride</t>
        </is>
      </c>
      <c r="C720" t="inlineStr">
        <is>
          <t>Attention deficit hyperactivity disorder</t>
        </is>
      </c>
      <c r="D720" t="inlineStr">
        <is>
          <t>Do not list</t>
        </is>
      </c>
      <c r="E720" t="inlineStr">
        <is>
          <t>Complete</t>
        </is>
      </c>
      <c r="F720" s="3">
        <v>38377</v>
      </c>
      <c r="G720" s="3">
        <v>38623</v>
      </c>
      <c r="H720" t="inlineStr">
        <is>
          <t>S0031</t>
        </is>
      </c>
      <c r="N720" t="inlineStr">
        <is>
          <t>Eli Lilly Canada Inc.</t>
        </is>
      </c>
      <c r="Q720" t="inlineStr">
        <is>
          <t>Initial</t>
        </is>
      </c>
    </row>
    <row r="721">
      <c r="A721" s="2">
        <f>HYPERLINK("https://www.cadth.ca/atomoxetine-hydrochloride-11", "Strattera")</f>
        <v>0</v>
      </c>
      <c r="B721" t="inlineStr">
        <is>
          <t>Atomoxetine hydrochloride</t>
        </is>
      </c>
      <c r="C721" t="inlineStr">
        <is>
          <t>Attention deficit hyperactivity disorder</t>
        </is>
      </c>
      <c r="E721" t="inlineStr">
        <is>
          <t>Complete</t>
        </is>
      </c>
      <c r="F721" s="3">
        <v>38985</v>
      </c>
      <c r="H721" t="inlineStr">
        <is>
          <t>S0085</t>
        </is>
      </c>
      <c r="N721" t="inlineStr">
        <is>
          <t>Eli Lilly Canada Inc.</t>
        </is>
      </c>
      <c r="Q721" t="inlineStr">
        <is>
          <t>Request For Advice</t>
        </is>
      </c>
    </row>
    <row r="722">
      <c r="A722" s="2">
        <f>HYPERLINK("https://www.cadth.ca/asfotase-alfa-SR0443", "Strensiq")</f>
        <v>0</v>
      </c>
      <c r="B722" t="inlineStr">
        <is>
          <t>Asfotase alfa</t>
        </is>
      </c>
      <c r="C722" t="inlineStr">
        <is>
          <t>Hypophosphatasia, pediatric-onset</t>
        </is>
      </c>
      <c r="D722" t="inlineStr">
        <is>
          <t>List with criteria/condition</t>
        </is>
      </c>
      <c r="E722" t="inlineStr">
        <is>
          <t>Complete</t>
        </is>
      </c>
      <c r="F722" s="3">
        <v>42237</v>
      </c>
      <c r="G722" s="3">
        <v>42452</v>
      </c>
      <c r="H722" t="inlineStr">
        <is>
          <t>SR0443-000</t>
        </is>
      </c>
      <c r="N722" t="inlineStr">
        <is>
          <t>Alexion Pharmaceuticals Canada</t>
        </is>
      </c>
      <c r="Q722" t="inlineStr">
        <is>
          <t>Initial</t>
        </is>
      </c>
    </row>
    <row r="723">
      <c r="A723" s="2">
        <f>HYPERLINK("https://www.cadth.ca/elvitegravir-cobicistat-emtricitabine-tenofovir-disoproxil-fumarate-6", "Stribild")</f>
        <v>0</v>
      </c>
      <c r="B723" t="inlineStr">
        <is>
          <t>Elvitegravir/  Cobicistat/  Emtricitabine/  Tenofovir Disoproxil Fumarate</t>
        </is>
      </c>
      <c r="C723" t="inlineStr">
        <is>
          <t>HIV-1 infection</t>
        </is>
      </c>
      <c r="D723" t="inlineStr">
        <is>
          <t>List with criteria/condition</t>
        </is>
      </c>
      <c r="E723" t="inlineStr">
        <is>
          <t>Complete</t>
        </is>
      </c>
      <c r="F723" s="3">
        <v>41243</v>
      </c>
      <c r="G723" s="3">
        <v>41409</v>
      </c>
      <c r="H723" t="inlineStr">
        <is>
          <t>SR0301</t>
        </is>
      </c>
      <c r="N723" t="inlineStr">
        <is>
          <t>Gilead Sciences Canada Inc.</t>
        </is>
      </c>
      <c r="Q723" t="inlineStr">
        <is>
          <t>Initial</t>
        </is>
      </c>
    </row>
    <row r="724">
      <c r="A724" s="2">
        <f>HYPERLINK("https://www.cadth.ca/zolpidem-tartrate-6", "Sublinox")</f>
        <v>0</v>
      </c>
      <c r="B724" t="inlineStr">
        <is>
          <t>Zolpidem tartrate</t>
        </is>
      </c>
      <c r="C724" t="inlineStr">
        <is>
          <t>Insomnia, short-term treatment</t>
        </is>
      </c>
      <c r="D724" t="inlineStr">
        <is>
          <t>Do not list</t>
        </is>
      </c>
      <c r="E724" t="inlineStr">
        <is>
          <t>Complete</t>
        </is>
      </c>
      <c r="F724" s="3">
        <v>41340</v>
      </c>
      <c r="G724" s="3">
        <v>41542</v>
      </c>
      <c r="H724" t="inlineStr">
        <is>
          <t>SR0314</t>
        </is>
      </c>
      <c r="N724" t="inlineStr">
        <is>
          <t>Meda Valeant Pharma Canada Inc.</t>
        </is>
      </c>
      <c r="Q724" t="inlineStr">
        <is>
          <t>Initial</t>
        </is>
      </c>
    </row>
    <row r="725">
      <c r="A725" s="2">
        <f>HYPERLINK("https://www.cadth.ca/buprenorphine", "Sublocade")</f>
        <v>0</v>
      </c>
      <c r="B725" t="inlineStr">
        <is>
          <t>buprenorphine</t>
        </is>
      </c>
      <c r="C725" t="inlineStr">
        <is>
          <t>Opioid use disorder, treatment</t>
        </is>
      </c>
      <c r="D725" t="inlineStr">
        <is>
          <t>Reimburse with clinical criteria and/or conditions</t>
        </is>
      </c>
      <c r="E725" t="inlineStr">
        <is>
          <t>Complete</t>
        </is>
      </c>
      <c r="F725" s="3">
        <v>43454</v>
      </c>
      <c r="G725" s="3">
        <v>43635</v>
      </c>
      <c r="H725" t="inlineStr">
        <is>
          <t>SR0579-000</t>
        </is>
      </c>
      <c r="N725" t="inlineStr">
        <is>
          <t>Indivior Canada Ltd.</t>
        </is>
      </c>
      <c r="Q725" t="inlineStr">
        <is>
          <t>Initial</t>
        </is>
      </c>
    </row>
    <row r="726">
      <c r="A726" s="2">
        <f>HYPERLINK("https://www.cadth.ca/buprenorphinenaloxone-6", "Suboxone")</f>
        <v>0</v>
      </c>
      <c r="B726" t="inlineStr">
        <is>
          <t>Buprenorphine/naloxone</t>
        </is>
      </c>
      <c r="C726" t="inlineStr">
        <is>
          <t>Opioid drug dependence (Substitution treatment)</t>
        </is>
      </c>
      <c r="D726" t="inlineStr">
        <is>
          <t>List with clinical criteria and/or conditions</t>
        </is>
      </c>
      <c r="E726" t="inlineStr">
        <is>
          <t>Complete</t>
        </is>
      </c>
      <c r="F726" s="3">
        <v>39513</v>
      </c>
      <c r="G726" s="3">
        <v>39715</v>
      </c>
      <c r="H726" t="inlineStr">
        <is>
          <t>S0128</t>
        </is>
      </c>
      <c r="N726" t="inlineStr">
        <is>
          <t>Schering-Plough Canada Inc</t>
        </is>
      </c>
      <c r="Q726" t="inlineStr">
        <is>
          <t>Initial</t>
        </is>
      </c>
    </row>
    <row r="727">
      <c r="A727" s="2">
        <f>HYPERLINK("https://www.cadth.ca/asunaprevir", "Sunvepra")</f>
        <v>0</v>
      </c>
      <c r="B727" t="inlineStr">
        <is>
          <t>Asunaprevir</t>
        </is>
      </c>
      <c r="C727" t="inlineStr">
        <is>
          <t>Hepatitis C, chronic</t>
        </is>
      </c>
      <c r="D727" t="inlineStr">
        <is>
          <t>Reimburse with clinical criteria and/or conditions</t>
        </is>
      </c>
      <c r="E727" t="inlineStr">
        <is>
          <t>Complete</t>
        </is>
      </c>
      <c r="F727" s="3">
        <v>42048</v>
      </c>
      <c r="G727" s="3">
        <v>42571</v>
      </c>
      <c r="H727" t="inlineStr">
        <is>
          <t>SR0418-000</t>
        </is>
      </c>
      <c r="N727" t="inlineStr">
        <is>
          <t>Bristol-Myers Squibb Canada Inc.</t>
        </is>
      </c>
      <c r="Q727" t="inlineStr">
        <is>
          <t>Pre-NOC</t>
        </is>
      </c>
    </row>
    <row r="728">
      <c r="A728" s="2">
        <f>HYPERLINK("https://www.cadth.ca/sunitinib-6", "Sutent")</f>
        <v>0</v>
      </c>
      <c r="B728" t="inlineStr">
        <is>
          <t>Sunitinib</t>
        </is>
      </c>
      <c r="C728" t="inlineStr">
        <is>
          <t>Gastrointestinal stromal tumour (GIST)</t>
        </is>
      </c>
      <c r="D728" t="inlineStr">
        <is>
          <t>List with clinical criteria and/or conditions</t>
        </is>
      </c>
      <c r="E728" t="inlineStr">
        <is>
          <t>Complete</t>
        </is>
      </c>
      <c r="F728" s="3">
        <v>38918</v>
      </c>
      <c r="G728" s="3">
        <v>39169</v>
      </c>
      <c r="H728" t="inlineStr">
        <is>
          <t>S0069</t>
        </is>
      </c>
      <c r="N728" t="inlineStr">
        <is>
          <t>Pfizer Canada Inc.</t>
        </is>
      </c>
      <c r="Q728" t="inlineStr">
        <is>
          <t>Initial</t>
        </is>
      </c>
    </row>
    <row r="729">
      <c r="A729" s="2">
        <f>HYPERLINK("https://www.cadth.ca/sunitinib-malate-6", "Sutent")</f>
        <v>0</v>
      </c>
      <c r="B729" t="inlineStr">
        <is>
          <t>Sunitinib malate</t>
        </is>
      </c>
      <c r="C729" t="inlineStr">
        <is>
          <t>Cancer, Metastatic renal cell carcinoma</t>
        </is>
      </c>
      <c r="D729" t="inlineStr">
        <is>
          <t>Do not list</t>
        </is>
      </c>
      <c r="E729" t="inlineStr">
        <is>
          <t>Complete</t>
        </is>
      </c>
      <c r="F729" s="3">
        <v>38980</v>
      </c>
      <c r="G729" s="3">
        <v>39198</v>
      </c>
      <c r="H729" t="inlineStr">
        <is>
          <t>S0077</t>
        </is>
      </c>
      <c r="N729" t="inlineStr">
        <is>
          <t>Pfizer Canada Inc.</t>
        </is>
      </c>
      <c r="Q729" t="inlineStr">
        <is>
          <t>Resubmission</t>
        </is>
      </c>
    </row>
    <row r="730">
      <c r="A730" s="2">
        <f>HYPERLINK("https://www.cadth.ca/tezacaftorivacaftor", "Symdeko")</f>
        <v>0</v>
      </c>
      <c r="B730" t="inlineStr">
        <is>
          <t>tezacaftor/ivacaftor</t>
        </is>
      </c>
      <c r="C730" t="inlineStr">
        <is>
          <t>Cystic fibrosis, F508del mutation(s)</t>
        </is>
      </c>
      <c r="D730" t="inlineStr">
        <is>
          <t>CADTH is unable to recommend reimbursement as a submission was not filed by the manufacturer</t>
        </is>
      </c>
      <c r="E730" t="inlineStr">
        <is>
          <t>NotFiled</t>
        </is>
      </c>
      <c r="N730" t="inlineStr">
        <is>
          <t>Vertex Pharmaceuticals Canada Inc.</t>
        </is>
      </c>
      <c r="Q730" t="inlineStr">
        <is>
          <t>Non-submission</t>
        </is>
      </c>
    </row>
    <row r="731">
      <c r="A731" s="2">
        <f>HYPERLINK("https://www.cadth.ca/darunavircobicistatemtricitabinetenofovir-alafenamide", "Symtuza")</f>
        <v>0</v>
      </c>
      <c r="B731" t="inlineStr">
        <is>
          <t>Darunavir/cobicistat/emtricitabine/tenofovir alafenamide</t>
        </is>
      </c>
      <c r="C731" t="inlineStr">
        <is>
          <t>HIV-1 infection</t>
        </is>
      </c>
      <c r="D731" t="inlineStr">
        <is>
          <t>Reimburse with clinical criteria and/or conditions</t>
        </is>
      </c>
      <c r="E731" t="inlineStr">
        <is>
          <t>Complete</t>
        </is>
      </c>
      <c r="F731" s="3">
        <v>43091</v>
      </c>
      <c r="G731" s="3">
        <v>43306</v>
      </c>
      <c r="H731" t="inlineStr">
        <is>
          <t>SR0552-000</t>
        </is>
      </c>
      <c r="N731" t="inlineStr">
        <is>
          <t>Janssen Inc.</t>
        </is>
      </c>
      <c r="Q731" t="inlineStr">
        <is>
          <t>Initial</t>
        </is>
      </c>
    </row>
    <row r="732">
      <c r="A732" s="2">
        <f>HYPERLINK("https://www.cadth.ca/empagliflozin-and-metformin", "Synjardy")</f>
        <v>0</v>
      </c>
      <c r="B732" t="inlineStr">
        <is>
          <t>Empagliflozin and metformin</t>
        </is>
      </c>
      <c r="C732" t="inlineStr">
        <is>
          <t>Diabetes mellitus (Type 2)</t>
        </is>
      </c>
      <c r="D732" t="inlineStr">
        <is>
          <t>Reimburse with clinical criteria and/or conditions</t>
        </is>
      </c>
      <c r="E732" t="inlineStr">
        <is>
          <t>Complete</t>
        </is>
      </c>
      <c r="F732" s="3">
        <v>42489</v>
      </c>
      <c r="G732" s="3">
        <v>42668</v>
      </c>
      <c r="H732" t="inlineStr">
        <is>
          <t>SR0489-000</t>
        </is>
      </c>
      <c r="N732" t="inlineStr">
        <is>
          <t>Boehringer Ingelheim (Canada) Ltd.</t>
        </is>
      </c>
      <c r="Q732" t="inlineStr">
        <is>
          <t>Initial</t>
        </is>
      </c>
    </row>
    <row r="733">
      <c r="A733" s="2">
        <f>HYPERLINK("https://www.cadth.ca/lanadelumab", "Takhzyro")</f>
        <v>0</v>
      </c>
      <c r="B733" t="inlineStr">
        <is>
          <t>lanadelumab</t>
        </is>
      </c>
      <c r="C733" t="inlineStr">
        <is>
          <t>Hereditary angioedema, prevention</t>
        </is>
      </c>
      <c r="D733" t="inlineStr">
        <is>
          <t>Reimburse with clinical criteria and/or conditions</t>
        </is>
      </c>
      <c r="E733" t="inlineStr">
        <is>
          <t>Complete</t>
        </is>
      </c>
      <c r="F733" s="3">
        <v>43614</v>
      </c>
      <c r="G733" s="3">
        <v>43788</v>
      </c>
      <c r="H733" t="inlineStr">
        <is>
          <t>SR0618-000</t>
        </is>
      </c>
      <c r="N733" t="inlineStr">
        <is>
          <t>Shire Pharma Canada ULC</t>
        </is>
      </c>
      <c r="Q733" t="inlineStr">
        <is>
          <t>Initial</t>
        </is>
      </c>
    </row>
    <row r="734">
      <c r="A734" s="2">
        <f>HYPERLINK("https://www.cadth.ca/ixekizumab-1", "Taltz")</f>
        <v>0</v>
      </c>
      <c r="B734" t="inlineStr">
        <is>
          <t>ixekizumab</t>
        </is>
      </c>
      <c r="C734" t="inlineStr">
        <is>
          <t>Ankylosing spondylitis</t>
        </is>
      </c>
      <c r="D734" t="inlineStr">
        <is>
          <t>Reimburse with clinical criteria and/or conditions</t>
        </is>
      </c>
      <c r="E734" t="inlineStr">
        <is>
          <t>Complete</t>
        </is>
      </c>
      <c r="F734" s="3">
        <v>43728</v>
      </c>
      <c r="G734" s="3">
        <v>43914</v>
      </c>
      <c r="H734" t="inlineStr">
        <is>
          <t>SR0630-000</t>
        </is>
      </c>
      <c r="N734" t="inlineStr">
        <is>
          <t>Eli Lilly Canada Inc.</t>
        </is>
      </c>
      <c r="Q734" t="inlineStr">
        <is>
          <t>Initial</t>
        </is>
      </c>
    </row>
    <row r="735">
      <c r="A735" s="2">
        <f>HYPERLINK("https://www.cadth.ca/ixekizumab", "Taltz")</f>
        <v>0</v>
      </c>
      <c r="B735" t="inlineStr">
        <is>
          <t>Ixekizumab</t>
        </is>
      </c>
      <c r="C735" t="inlineStr">
        <is>
          <t>Psoriasis, moderate to severe plaque</t>
        </is>
      </c>
      <c r="D735" t="inlineStr">
        <is>
          <t>Reimburse with clinical criteria and/or conditions</t>
        </is>
      </c>
      <c r="E735" t="inlineStr">
        <is>
          <t>Complete</t>
        </is>
      </c>
      <c r="F735" s="3">
        <v>42452</v>
      </c>
      <c r="G735" s="3">
        <v>42668</v>
      </c>
      <c r="H735" t="inlineStr">
        <is>
          <t>SR0481-000</t>
        </is>
      </c>
      <c r="N735" t="inlineStr">
        <is>
          <t>Eli Lilly Canada Inc.</t>
        </is>
      </c>
      <c r="Q735" t="inlineStr">
        <is>
          <t>Initial</t>
        </is>
      </c>
    </row>
    <row r="736">
      <c r="A736" s="2">
        <f>HYPERLINK("https://www.cadth.ca/ixekizumab-0", "Taltz")</f>
        <v>0</v>
      </c>
      <c r="B736" t="inlineStr">
        <is>
          <t>ixekizumab</t>
        </is>
      </c>
      <c r="C736" t="inlineStr">
        <is>
          <t>Arthritis, psoriatic</t>
        </is>
      </c>
      <c r="D736" t="inlineStr">
        <is>
          <t>Reimburse with clinical criteria and/or conditions</t>
        </is>
      </c>
      <c r="E736" t="inlineStr">
        <is>
          <t>Complete</t>
        </is>
      </c>
      <c r="F736" s="3">
        <v>43151</v>
      </c>
      <c r="G736" s="3">
        <v>43333</v>
      </c>
      <c r="H736" t="inlineStr">
        <is>
          <t>SR0558-000</t>
        </is>
      </c>
      <c r="N736" t="inlineStr">
        <is>
          <t>Eli Lilly Canada Inc.</t>
        </is>
      </c>
      <c r="Q736" t="inlineStr">
        <is>
          <t>New Indication</t>
        </is>
      </c>
    </row>
    <row r="737">
      <c r="A737" s="2">
        <f>HYPERLINK("https://www.cadth.ca/erlotinib-4", "Tarceva")</f>
        <v>0</v>
      </c>
      <c r="B737" t="inlineStr">
        <is>
          <t>Erlotinib</t>
        </is>
      </c>
      <c r="C737" t="inlineStr">
        <is>
          <t>Cancer, Lung , non-small cell</t>
        </is>
      </c>
      <c r="D737" t="inlineStr">
        <is>
          <t>List with clinical criteria and/or conditions</t>
        </is>
      </c>
      <c r="E737" t="inlineStr">
        <is>
          <t>Complete</t>
        </is>
      </c>
      <c r="F737" s="3">
        <v>38552</v>
      </c>
      <c r="G737" s="3">
        <v>38693</v>
      </c>
      <c r="H737" t="inlineStr">
        <is>
          <t>S0037</t>
        </is>
      </c>
      <c r="N737" t="inlineStr">
        <is>
          <t>Hoffmann-La Roche Limited</t>
        </is>
      </c>
      <c r="Q737" t="inlineStr">
        <is>
          <t>Initial</t>
        </is>
      </c>
    </row>
    <row r="738">
      <c r="A738" s="2">
        <f>HYPERLINK("https://www.cadth.ca/oxycodone-naloxone-4", "Targin")</f>
        <v>0</v>
      </c>
      <c r="B738" t="inlineStr">
        <is>
          <t>Oxycodone / naloxone</t>
        </is>
      </c>
      <c r="C738" t="inlineStr">
        <is>
          <t>Pain, Moderate to severe and relief of opioid-induced constipation</t>
        </is>
      </c>
      <c r="E738" t="inlineStr">
        <is>
          <t>Cancelled</t>
        </is>
      </c>
      <c r="F738" s="3">
        <v>40512</v>
      </c>
      <c r="H738" t="inlineStr">
        <is>
          <t>S0219</t>
        </is>
      </c>
      <c r="N738" t="inlineStr">
        <is>
          <t>Purdue Pharma</t>
        </is>
      </c>
      <c r="Q738" t="inlineStr">
        <is>
          <t>Initial</t>
        </is>
      </c>
    </row>
    <row r="739">
      <c r="A739" s="2">
        <f>HYPERLINK("https://www.cadth.ca/oxycodone-hci-naloxone-hci-S0241", "Targin")</f>
        <v>0</v>
      </c>
      <c r="B739" t="inlineStr">
        <is>
          <t>Oxycodone HCI / naloxone HCI</t>
        </is>
      </c>
      <c r="C739" t="inlineStr">
        <is>
          <t>Pain, Moderate to severe and relief of opioid-induced constipation</t>
        </is>
      </c>
      <c r="D739" t="inlineStr">
        <is>
          <t>Do not list</t>
        </is>
      </c>
      <c r="E739" t="inlineStr">
        <is>
          <t>Complete</t>
        </is>
      </c>
      <c r="F739" s="3">
        <v>40729</v>
      </c>
      <c r="G739" s="3">
        <v>40933</v>
      </c>
      <c r="H739" t="inlineStr">
        <is>
          <t>S0241</t>
        </is>
      </c>
      <c r="N739" t="inlineStr">
        <is>
          <t>Purdue Pharma</t>
        </is>
      </c>
      <c r="Q739" t="inlineStr">
        <is>
          <t>Resubmission</t>
        </is>
      </c>
    </row>
    <row r="740">
      <c r="A740" s="2">
        <f>HYPERLINK("https://www.cadth.ca/darunavir-cobicistat-4", "TBC")</f>
        <v>0</v>
      </c>
      <c r="B740" t="inlineStr">
        <is>
          <t>Darunavir / cobicistat</t>
        </is>
      </c>
      <c r="C740" t="inlineStr">
        <is>
          <t>HIV infection</t>
        </is>
      </c>
      <c r="E740" t="inlineStr">
        <is>
          <t>Withdrawn</t>
        </is>
      </c>
      <c r="F740" s="3">
        <v>41733</v>
      </c>
      <c r="H740" t="inlineStr">
        <is>
          <t>SR0378-000</t>
        </is>
      </c>
      <c r="N740" t="inlineStr">
        <is>
          <t>Janssen Inc.</t>
        </is>
      </c>
      <c r="Q740" t="inlineStr">
        <is>
          <t>Pre-NOC</t>
        </is>
      </c>
    </row>
    <row r="741">
      <c r="A741" s="2">
        <f>HYPERLINK("https://www.cadth.ca/risdiplam", "TBC")</f>
        <v>0</v>
      </c>
      <c r="B741" t="inlineStr">
        <is>
          <t>risdiplam</t>
        </is>
      </c>
      <c r="C741" t="inlineStr">
        <is>
          <t>​For the treatment of spinal muscular atrophy (SMA)</t>
        </is>
      </c>
      <c r="E741" t="inlineStr">
        <is>
          <t>Pending</t>
        </is>
      </c>
      <c r="H741" t="inlineStr">
        <is>
          <t>SR0661-000</t>
        </is>
      </c>
      <c r="N741" t="inlineStr">
        <is>
          <t>Hoffmann La-Roche Ltd.</t>
        </is>
      </c>
      <c r="Q741" t="inlineStr">
        <is>
          <t>Initial</t>
        </is>
      </c>
    </row>
    <row r="742">
      <c r="A742" s="2">
        <f>HYPERLINK("https://www.cadth.ca/filgotinib", "TBC")</f>
        <v>0</v>
      </c>
      <c r="B742" t="inlineStr">
        <is>
          <t>filgotinib</t>
        </is>
      </c>
      <c r="C742" t="inlineStr">
        <is>
          <t>Indicated as monotherapy, or in combination with methotrexate (MTX) or other conventional synthetic disease-modifying antirheumatic drugs (csDMARDs), for reducing signs and symptoms of moderate to severe rheumatoid arthritis (RA) in adult patients who have responded inadequately to, or who are intolerant to one or more DMARDs.</t>
        </is>
      </c>
      <c r="E742" t="inlineStr">
        <is>
          <t>Received</t>
        </is>
      </c>
      <c r="F742" s="3">
        <v>44047</v>
      </c>
      <c r="H742" t="inlineStr">
        <is>
          <t>SR0656-000</t>
        </is>
      </c>
      <c r="N742" t="inlineStr">
        <is>
          <t>Gilead Sciences Canada, Inc.</t>
        </is>
      </c>
      <c r="Q742" t="inlineStr">
        <is>
          <t>Initial</t>
        </is>
      </c>
    </row>
    <row r="743">
      <c r="A743" s="2">
        <f>HYPERLINK("https://www.cadth.ca/filgrastim-0", "TBC")</f>
        <v>0</v>
      </c>
      <c r="B743" t="inlineStr">
        <is>
          <t>filgrastim</t>
        </is>
      </c>
      <c r="C743" t="inlineStr">
        <is>
          <t>Prevention or treatment of neutropenia in various indications</t>
        </is>
      </c>
      <c r="E743" t="inlineStr">
        <is>
          <t>Cancelled</t>
        </is>
      </c>
      <c r="F743" s="3">
        <v>43405</v>
      </c>
      <c r="H743" t="inlineStr">
        <is>
          <t>SE0585-000</t>
        </is>
      </c>
      <c r="N743" t="inlineStr">
        <is>
          <t>Pfizer Canada Inc.</t>
        </is>
      </c>
      <c r="Q743" t="inlineStr">
        <is>
          <t>Initial</t>
        </is>
      </c>
    </row>
    <row r="744">
      <c r="A744" s="2">
        <f>HYPERLINK("https://www.cadth.ca/etonogestrel", "TBC")</f>
        <v>0</v>
      </c>
      <c r="B744" t="inlineStr">
        <is>
          <t>etonogestrel</t>
        </is>
      </c>
      <c r="C744" t="inlineStr">
        <is>
          <t>Prevention of pregnancy</t>
        </is>
      </c>
      <c r="E744" t="inlineStr">
        <is>
          <t>Withdrawn</t>
        </is>
      </c>
      <c r="F744" s="3">
        <v>43734</v>
      </c>
      <c r="H744" t="inlineStr">
        <is>
          <t>SR0629-000</t>
        </is>
      </c>
      <c r="N744" t="inlineStr">
        <is>
          <t>Merck Canada Inc.</t>
        </is>
      </c>
      <c r="Q744" t="inlineStr">
        <is>
          <t>Initial</t>
        </is>
      </c>
    </row>
    <row r="745">
      <c r="A745" s="2">
        <f>HYPERLINK("https://www.cadth.ca/filgrastim-1", "TBC")</f>
        <v>0</v>
      </c>
      <c r="B745" t="inlineStr">
        <is>
          <t>filgrastim</t>
        </is>
      </c>
      <c r="C745" t="inlineStr">
        <is>
          <t>neutropenia, blood cell mobilization (various indications)</t>
        </is>
      </c>
      <c r="E745" t="inlineStr">
        <is>
          <t>Cancelled</t>
        </is>
      </c>
      <c r="H745" t="inlineStr">
        <is>
          <t>SE0596-000</t>
        </is>
      </c>
      <c r="N745" t="inlineStr">
        <is>
          <t>Sandoz Canada Inc.</t>
        </is>
      </c>
      <c r="Q745" t="inlineStr">
        <is>
          <t>Initial</t>
        </is>
      </c>
    </row>
    <row r="746">
      <c r="A746" s="2">
        <f>HYPERLINK("https://www.cadth.ca/infliximab-21", "TBC")</f>
        <v>0</v>
      </c>
      <c r="B746" t="inlineStr">
        <is>
          <t>infliximab</t>
        </is>
      </c>
      <c r="E746" t="inlineStr">
        <is>
          <t>Active</t>
        </is>
      </c>
      <c r="F746" s="3">
        <v>44098</v>
      </c>
      <c r="H746" t="inlineStr">
        <is>
          <t>SR0659-000</t>
        </is>
      </c>
      <c r="N746" t="inlineStr">
        <is>
          <t>Celltrion Healthcare Co., Ltd</t>
        </is>
      </c>
      <c r="Q746" t="inlineStr">
        <is>
          <t>Initial</t>
        </is>
      </c>
    </row>
    <row r="747">
      <c r="A747" s="2">
        <f>HYPERLINK("https://www.cadth.ca/ranolazine", "TBC")</f>
        <v>0</v>
      </c>
      <c r="B747" t="inlineStr">
        <is>
          <t>ranolazine</t>
        </is>
      </c>
      <c r="C747" t="inlineStr">
        <is>
          <t>Indicated in adults as add-on therapy for the symptomatic treatment of patients with stable angina pectoris who are inadequately controlled or intolerant to first-line antianginal therapies (such as beta-blockers and/or calcium antagonists).  Ranolazine may be used with beta-blockers, nitrates, calcium channel blockers, anti-platelet therapy, lipid-lowering therapy, ACE inhibitors, and angiotensin receptor blockers</t>
        </is>
      </c>
      <c r="E747" t="inlineStr">
        <is>
          <t>Active</t>
        </is>
      </c>
      <c r="F747" s="3">
        <v>44060</v>
      </c>
      <c r="H747" t="inlineStr">
        <is>
          <t>SR0655-000</t>
        </is>
      </c>
      <c r="N747" t="inlineStr">
        <is>
          <t>KYE Pharmaceuticals Inc.</t>
        </is>
      </c>
      <c r="Q747" t="inlineStr">
        <is>
          <t>Initial</t>
        </is>
      </c>
    </row>
    <row r="748">
      <c r="A748" s="2">
        <f>HYPERLINK("https://www.cadth.ca/ravulizumab", "TBC")</f>
        <v>0</v>
      </c>
      <c r="B748" t="inlineStr">
        <is>
          <t>ravulizumab</t>
        </is>
      </c>
      <c r="C748" t="inlineStr">
        <is>
          <t>Paroxysmal nocturnal hemoglobinuria.</t>
        </is>
      </c>
      <c r="E748" t="inlineStr">
        <is>
          <t>Suspended</t>
        </is>
      </c>
      <c r="F748" s="3">
        <v>43650</v>
      </c>
      <c r="H748" t="inlineStr">
        <is>
          <t>SR0623-000</t>
        </is>
      </c>
      <c r="N748" t="inlineStr">
        <is>
          <t>Alexion Pharma Canada Corp</t>
        </is>
      </c>
      <c r="Q748" t="inlineStr">
        <is>
          <t>Initial</t>
        </is>
      </c>
    </row>
    <row r="749">
      <c r="A749" s="2">
        <f>HYPERLINK("https://www.cadth.ca/halobetasol-propionate-and-tazarotene", "TBC")</f>
        <v>0</v>
      </c>
      <c r="B749" t="inlineStr">
        <is>
          <t>halobetasol propionate and tazarotene</t>
        </is>
      </c>
      <c r="C749" t="inlineStr">
        <is>
          <t>Psoriasis, moderate to severe plaque</t>
        </is>
      </c>
      <c r="E749" t="inlineStr">
        <is>
          <t>Withdrawn</t>
        </is>
      </c>
      <c r="F749" s="3">
        <v>43500</v>
      </c>
      <c r="H749" t="inlineStr">
        <is>
          <t>SR0600-000</t>
        </is>
      </c>
      <c r="N749" t="inlineStr">
        <is>
          <t>Bausch Health, Canada Inc.</t>
        </is>
      </c>
      <c r="Q749" t="inlineStr">
        <is>
          <t>Initial</t>
        </is>
      </c>
    </row>
    <row r="750">
      <c r="A750" s="2">
        <f>HYPERLINK("https://www.cadth.ca/ofatumumab", "TBC")</f>
        <v>0</v>
      </c>
      <c r="B750" t="inlineStr">
        <is>
          <t>ofatumumab</t>
        </is>
      </c>
      <c r="C750" t="inlineStr">
        <is>
          <t>For the treatment of Relapsing Multiple Sclerosis (RMS).</t>
        </is>
      </c>
      <c r="E750" t="inlineStr">
        <is>
          <t>Active</t>
        </is>
      </c>
      <c r="F750" s="3">
        <v>44068</v>
      </c>
      <c r="H750" t="inlineStr">
        <is>
          <t>SR0657-0000</t>
        </is>
      </c>
      <c r="N750" t="inlineStr">
        <is>
          <t>Novartis Pharmaceuticals Canada Inc.</t>
        </is>
      </c>
      <c r="Q750" t="inlineStr">
        <is>
          <t>Initial</t>
        </is>
      </c>
    </row>
    <row r="751">
      <c r="A751" s="2">
        <f>HYPERLINK("https://www.cadth.ca/dimethyl-fumarate-6", "Tecfidera")</f>
        <v>0</v>
      </c>
      <c r="B751" t="inlineStr">
        <is>
          <t>Dimethyl fumarate</t>
        </is>
      </c>
      <c r="C751" t="inlineStr">
        <is>
          <t>Multiple Sclerosis, relapsing</t>
        </is>
      </c>
      <c r="D751" t="inlineStr">
        <is>
          <t>List with criteria/condition</t>
        </is>
      </c>
      <c r="E751" t="inlineStr">
        <is>
          <t>Complete</t>
        </is>
      </c>
      <c r="F751" s="3">
        <v>41309</v>
      </c>
      <c r="G751" s="3">
        <v>41542</v>
      </c>
      <c r="H751" t="inlineStr">
        <is>
          <t>SR0309</t>
        </is>
      </c>
      <c r="N751" t="inlineStr">
        <is>
          <t>Biogen Idec Canada Inc.</t>
        </is>
      </c>
      <c r="Q751" t="inlineStr">
        <is>
          <t>Pre-NOC</t>
        </is>
      </c>
    </row>
    <row r="752">
      <c r="A752" s="2">
        <f>HYPERLINK("https://www.cadth.ca/ombitasvir-paritaprevir-ritonavir", "Technivie")</f>
        <v>0</v>
      </c>
      <c r="B752" t="inlineStr">
        <is>
          <t>Ombitasvir/ paritaprevir/ ritonavir</t>
        </is>
      </c>
      <c r="C752" t="inlineStr">
        <is>
          <t>Hepatitis C, chronic (genotype 4)</t>
        </is>
      </c>
      <c r="D752" t="inlineStr">
        <is>
          <t>List with clinical criteria and/or conditions</t>
        </is>
      </c>
      <c r="E752" t="inlineStr">
        <is>
          <t>Complete</t>
        </is>
      </c>
      <c r="F752" s="3">
        <v>42251</v>
      </c>
      <c r="G752" s="3">
        <v>42447</v>
      </c>
      <c r="H752" t="inlineStr">
        <is>
          <t>SR0444-000</t>
        </is>
      </c>
      <c r="N752" t="inlineStr">
        <is>
          <t>AbbVie Corporation</t>
        </is>
      </c>
      <c r="Q752" t="inlineStr">
        <is>
          <t>Initial</t>
        </is>
      </c>
    </row>
    <row r="753">
      <c r="A753" s="2">
        <f>HYPERLINK("https://www.cadth.ca/inotersen", "Tegsedi")</f>
        <v>0</v>
      </c>
      <c r="B753" t="inlineStr">
        <is>
          <t>inotersen</t>
        </is>
      </c>
      <c r="C753" t="inlineStr">
        <is>
          <t>hereditary transthyretin amyloidosis</t>
        </is>
      </c>
      <c r="D753" t="inlineStr">
        <is>
          <t>Reimburse with clinical criteria and/or conditions</t>
        </is>
      </c>
      <c r="E753" t="inlineStr">
        <is>
          <t>Complete</t>
        </is>
      </c>
      <c r="F753" s="3">
        <v>43518</v>
      </c>
      <c r="G753" s="3">
        <v>43817</v>
      </c>
      <c r="H753" t="inlineStr">
        <is>
          <t>SR0603-000</t>
        </is>
      </c>
      <c r="N753" t="inlineStr">
        <is>
          <t>Akcea Therapeutics Inc.</t>
        </is>
      </c>
      <c r="Q753" t="inlineStr">
        <is>
          <t>Initial</t>
        </is>
      </c>
    </row>
    <row r="754">
      <c r="A754" s="2">
        <f>HYPERLINK("https://www.cadth.ca/fosamprenavir-calcium-4", "Telzir")</f>
        <v>0</v>
      </c>
      <c r="B754" t="inlineStr">
        <is>
          <t>Fosamprenavir calcium</t>
        </is>
      </c>
      <c r="C754" t="inlineStr">
        <is>
          <t>HIV infection</t>
        </is>
      </c>
      <c r="D754" t="inlineStr">
        <is>
          <t>List in a similar manner to other drugs in class</t>
        </is>
      </c>
      <c r="E754" t="inlineStr">
        <is>
          <t>Complete</t>
        </is>
      </c>
      <c r="F754" s="3">
        <v>38376</v>
      </c>
      <c r="G754" s="3">
        <v>38519</v>
      </c>
      <c r="H754" t="inlineStr">
        <is>
          <t>S0030</t>
        </is>
      </c>
      <c r="N754" t="inlineStr">
        <is>
          <t>GlaxoSmithKline Inc.</t>
        </is>
      </c>
      <c r="Q754" t="inlineStr">
        <is>
          <t>Initial</t>
        </is>
      </c>
    </row>
    <row r="755">
      <c r="A755" s="2">
        <f>HYPERLINK("https://www.cadth.ca/sitaxsentan-sodium-14", "Thelin")</f>
        <v>0</v>
      </c>
      <c r="B755" t="inlineStr">
        <is>
          <t>Sitaxsentan sodium</t>
        </is>
      </c>
      <c r="C755" t="inlineStr">
        <is>
          <t>Pulmonary arterial hypertension (WHO class II and III)</t>
        </is>
      </c>
      <c r="D755" t="inlineStr">
        <is>
          <t>Do not list</t>
        </is>
      </c>
      <c r="E755" t="inlineStr">
        <is>
          <t>Complete</t>
        </is>
      </c>
      <c r="F755" s="3">
        <v>39573</v>
      </c>
      <c r="G755" s="3">
        <v>39841</v>
      </c>
      <c r="H755" t="inlineStr">
        <is>
          <t>S0132</t>
        </is>
      </c>
      <c r="N755" t="inlineStr">
        <is>
          <t>Encysive Canada Inc.</t>
        </is>
      </c>
      <c r="Q755" t="inlineStr">
        <is>
          <t>Resubmission</t>
        </is>
      </c>
    </row>
    <row r="756">
      <c r="A756" s="2">
        <f>HYPERLINK("https://www.cadth.ca/sitaxsentan-sodium-13", "Thelin")</f>
        <v>0</v>
      </c>
      <c r="B756" t="inlineStr">
        <is>
          <t>Sitaxsentan sodium</t>
        </is>
      </c>
      <c r="C756" t="inlineStr">
        <is>
          <t>Pulmonary arterial hypertension (WHO class II and III)</t>
        </is>
      </c>
      <c r="D756" t="inlineStr">
        <is>
          <t>Do not list</t>
        </is>
      </c>
      <c r="E756" t="inlineStr">
        <is>
          <t>Complete</t>
        </is>
      </c>
      <c r="F756" s="3">
        <v>39255</v>
      </c>
      <c r="G756" s="3">
        <v>39477</v>
      </c>
      <c r="H756" t="inlineStr">
        <is>
          <t>S0099</t>
        </is>
      </c>
      <c r="N756" t="inlineStr">
        <is>
          <t>Encysive Canada Inc.</t>
        </is>
      </c>
      <c r="Q756" t="inlineStr">
        <is>
          <t>Initial</t>
        </is>
      </c>
    </row>
    <row r="757">
      <c r="A757" s="2">
        <f>HYPERLINK("https://www.cadth.ca/dolutegravir-6", "Tivicay")</f>
        <v>0</v>
      </c>
      <c r="B757" t="inlineStr">
        <is>
          <t>Dolutegravir</t>
        </is>
      </c>
      <c r="C757" t="inlineStr">
        <is>
          <t>HIV infection</t>
        </is>
      </c>
      <c r="D757" t="inlineStr">
        <is>
          <t>List</t>
        </is>
      </c>
      <c r="E757" t="inlineStr">
        <is>
          <t>Complete</t>
        </is>
      </c>
      <c r="F757" s="3">
        <v>41565</v>
      </c>
      <c r="G757" s="3">
        <v>41869</v>
      </c>
      <c r="H757" t="inlineStr">
        <is>
          <t>SR0357</t>
        </is>
      </c>
      <c r="N757" t="inlineStr">
        <is>
          <t>ViiV Healthcare ULC</t>
        </is>
      </c>
      <c r="Q757" t="inlineStr">
        <is>
          <t>Pre-NOC</t>
        </is>
      </c>
    </row>
    <row r="758">
      <c r="A758" s="2">
        <f>HYPERLINK("https://www.cadth.ca/alitretinoin-6", "Toctino")</f>
        <v>0</v>
      </c>
      <c r="B758" t="inlineStr">
        <is>
          <t>Alitretinoin</t>
        </is>
      </c>
      <c r="C758" t="inlineStr">
        <is>
          <t>Eczema</t>
        </is>
      </c>
      <c r="D758" t="inlineStr">
        <is>
          <t>List with clinical criteria and/or conditions</t>
        </is>
      </c>
      <c r="E758" t="inlineStr">
        <is>
          <t>Complete</t>
        </is>
      </c>
      <c r="F758" s="3">
        <v>40669</v>
      </c>
      <c r="G758" s="3">
        <v>40840</v>
      </c>
      <c r="H758" t="inlineStr">
        <is>
          <t>S0232</t>
        </is>
      </c>
      <c r="N758" t="inlineStr">
        <is>
          <t>Actelion</t>
        </is>
      </c>
      <c r="Q758" t="inlineStr">
        <is>
          <t>Initial</t>
        </is>
      </c>
    </row>
    <row r="759">
      <c r="A759" s="2">
        <f>HYPERLINK("https://www.cadth.ca/fesoterodine-fumarate-6", "Toviaz")</f>
        <v>0</v>
      </c>
      <c r="B759" t="inlineStr">
        <is>
          <t>Fesoterodine fumarate</t>
        </is>
      </c>
      <c r="C759" t="inlineStr">
        <is>
          <t>Bladder, overactive</t>
        </is>
      </c>
      <c r="D759" t="inlineStr">
        <is>
          <t>List in a similar manner</t>
        </is>
      </c>
      <c r="E759" t="inlineStr">
        <is>
          <t>Complete</t>
        </is>
      </c>
      <c r="F759" s="3">
        <v>41026</v>
      </c>
      <c r="G759" s="3">
        <v>41200</v>
      </c>
      <c r="H759" t="inlineStr">
        <is>
          <t>SR0277</t>
        </is>
      </c>
      <c r="N759" t="inlineStr">
        <is>
          <t>Pfizer  Canada Inc.</t>
        </is>
      </c>
      <c r="Q759" t="inlineStr">
        <is>
          <t>Initial</t>
        </is>
      </c>
    </row>
    <row r="760">
      <c r="A760" s="2">
        <f>HYPERLINK("https://www.cadth.ca/linagliptin-6", "Trajenta")</f>
        <v>0</v>
      </c>
      <c r="B760" t="inlineStr">
        <is>
          <t>Linagliptin</t>
        </is>
      </c>
      <c r="C760" t="inlineStr">
        <is>
          <t>Diabetes mellitus, Type 2</t>
        </is>
      </c>
      <c r="D760" t="inlineStr">
        <is>
          <t>List with clinical criteria and/or conditions</t>
        </is>
      </c>
      <c r="E760" t="inlineStr">
        <is>
          <t>Complete</t>
        </is>
      </c>
      <c r="F760" s="3">
        <v>40778</v>
      </c>
      <c r="G760" s="3">
        <v>40954</v>
      </c>
      <c r="H760" t="inlineStr">
        <is>
          <t>S0244</t>
        </is>
      </c>
      <c r="N760" t="inlineStr">
        <is>
          <t>Boehringer Ingelheim Canada</t>
        </is>
      </c>
      <c r="Q760" t="inlineStr">
        <is>
          <t>Initial</t>
        </is>
      </c>
    </row>
    <row r="761">
      <c r="A761" s="2">
        <f>HYPERLINK("https://www.cadth.ca/tramadol-hydrochloride-acetaminophen-6", "Tramacet")</f>
        <v>0</v>
      </c>
      <c r="B761" t="inlineStr">
        <is>
          <t>Tramadol hydrochloride /acetaminophen</t>
        </is>
      </c>
      <c r="C761" t="inlineStr">
        <is>
          <t>Acute pain</t>
        </is>
      </c>
      <c r="D761" t="inlineStr">
        <is>
          <t>Do not list</t>
        </is>
      </c>
      <c r="E761" t="inlineStr">
        <is>
          <t>Complete</t>
        </is>
      </c>
      <c r="F761" s="3">
        <v>38992</v>
      </c>
      <c r="G761" s="3">
        <v>39219</v>
      </c>
      <c r="H761" t="inlineStr">
        <is>
          <t>S0079</t>
        </is>
      </c>
      <c r="N761" t="inlineStr">
        <is>
          <t>Janssen-Ortho Inc.</t>
        </is>
      </c>
      <c r="Q761" t="inlineStr">
        <is>
          <t>Initial</t>
        </is>
      </c>
    </row>
    <row r="762">
      <c r="A762" s="2">
        <f>HYPERLINK("https://www.cadth.ca/ataluren", "Translarna")</f>
        <v>0</v>
      </c>
      <c r="B762" t="inlineStr">
        <is>
          <t>ataluren</t>
        </is>
      </c>
      <c r="C762" t="inlineStr">
        <is>
          <t>Dystrophinopathy</t>
        </is>
      </c>
      <c r="E762" t="inlineStr">
        <is>
          <t>Cancelled</t>
        </is>
      </c>
      <c r="H762" t="inlineStr">
        <is>
          <t>SR0607-000</t>
        </is>
      </c>
      <c r="N762" t="inlineStr">
        <is>
          <t>PTC Therapeutics Canada ULC</t>
        </is>
      </c>
      <c r="Q762" t="inlineStr">
        <is>
          <t>Initial</t>
        </is>
      </c>
    </row>
    <row r="763">
      <c r="A763" s="2">
        <f>HYPERLINK("https://www.cadth.ca/triptorelin-pamoate-6", "Trelstar")</f>
        <v>0</v>
      </c>
      <c r="B763" t="inlineStr">
        <is>
          <t>Triptorelin pamoate</t>
        </is>
      </c>
      <c r="C763" t="inlineStr">
        <is>
          <t>Cancer, prostate</t>
        </is>
      </c>
      <c r="D763" t="inlineStr">
        <is>
          <t>List in a similar manner to other drugs in class</t>
        </is>
      </c>
      <c r="E763" t="inlineStr">
        <is>
          <t>Complete</t>
        </is>
      </c>
      <c r="F763" s="3">
        <v>38775</v>
      </c>
      <c r="G763" s="3">
        <v>38918</v>
      </c>
      <c r="H763" t="inlineStr">
        <is>
          <t>S0051</t>
        </is>
      </c>
      <c r="N763" t="inlineStr">
        <is>
          <t>Watson Laboratories Inc.</t>
        </is>
      </c>
      <c r="Q763" t="inlineStr">
        <is>
          <t>Initial</t>
        </is>
      </c>
    </row>
    <row r="764">
      <c r="A764" s="2">
        <f>HYPERLINK("https://www.cadth.ca/guselkumab", "Tremfya")</f>
        <v>0</v>
      </c>
      <c r="B764" t="inlineStr">
        <is>
          <t>guselkumab</t>
        </is>
      </c>
      <c r="C764" t="inlineStr">
        <is>
          <t>Psoriasis, moderate to severe plaque</t>
        </is>
      </c>
      <c r="D764" t="inlineStr">
        <is>
          <t>Reimburse with clinical criteria and/or conditions</t>
        </is>
      </c>
      <c r="E764" t="inlineStr">
        <is>
          <t>Complete</t>
        </is>
      </c>
      <c r="F764" s="3">
        <v>42972</v>
      </c>
      <c r="G764" s="3">
        <v>43152</v>
      </c>
      <c r="H764" t="inlineStr">
        <is>
          <t>SR0530-000</t>
        </is>
      </c>
      <c r="N764" t="inlineStr">
        <is>
          <t>Janssen Inc.</t>
        </is>
      </c>
      <c r="Q764" t="inlineStr">
        <is>
          <t>Initial</t>
        </is>
      </c>
    </row>
    <row r="765">
      <c r="A765" s="2">
        <f>HYPERLINK("https://www.cadth.ca/insulin-degludec", "Tresiba")</f>
        <v>0</v>
      </c>
      <c r="B765" t="inlineStr">
        <is>
          <t>insulin degludec</t>
        </is>
      </c>
      <c r="C765" t="inlineStr">
        <is>
          <t>Diabetes mellitus, Type 1 &amp; 2</t>
        </is>
      </c>
      <c r="D765" t="inlineStr">
        <is>
          <t>Reimburse with clinical criteria and/or conditions</t>
        </is>
      </c>
      <c r="E765" t="inlineStr">
        <is>
          <t>Complete</t>
        </is>
      </c>
      <c r="F765" s="3">
        <v>42886</v>
      </c>
      <c r="G765" s="3">
        <v>43059</v>
      </c>
      <c r="H765" t="inlineStr">
        <is>
          <t>SR0521-000</t>
        </is>
      </c>
      <c r="N765" t="inlineStr">
        <is>
          <t>Novo Nordisk Canada Inc.</t>
        </is>
      </c>
      <c r="Q765" t="inlineStr">
        <is>
          <t>Initial</t>
        </is>
      </c>
    </row>
    <row r="766">
      <c r="A766" s="2">
        <f>HYPERLINK("https://www.cadth.ca/tramadol-hydrochloride-28", "Tridural")</f>
        <v>0</v>
      </c>
      <c r="B766" t="inlineStr">
        <is>
          <t>Tramadol hydrochloride</t>
        </is>
      </c>
      <c r="C766" t="inlineStr">
        <is>
          <t>Pain</t>
        </is>
      </c>
      <c r="D766" t="inlineStr">
        <is>
          <t>Do not list</t>
        </is>
      </c>
      <c r="E766" t="inlineStr">
        <is>
          <t>Complete</t>
        </is>
      </c>
      <c r="F766" s="3">
        <v>39415</v>
      </c>
      <c r="G766" s="3">
        <v>39555</v>
      </c>
      <c r="H766" t="inlineStr">
        <is>
          <t>S0117</t>
        </is>
      </c>
      <c r="N766" t="inlineStr">
        <is>
          <t>Labopharm Inc.</t>
        </is>
      </c>
      <c r="Q766" t="inlineStr">
        <is>
          <t>Initial</t>
        </is>
      </c>
    </row>
    <row r="767">
      <c r="A767" s="2">
        <f>HYPERLINK("https://www.cadth.ca/vortioxetine-hydrobromide", "Trintellix")</f>
        <v>0</v>
      </c>
      <c r="B767" t="inlineStr">
        <is>
          <t>vortioxetine hydrobromide</t>
        </is>
      </c>
      <c r="C767" t="inlineStr">
        <is>
          <t>Major depressive disorder (MDD), adults.</t>
        </is>
      </c>
      <c r="D767" t="inlineStr">
        <is>
          <t>Reimburse with clinical criteria and/or conditions</t>
        </is>
      </c>
      <c r="E767" t="inlineStr">
        <is>
          <t>Complete</t>
        </is>
      </c>
      <c r="F767" s="3">
        <v>43586</v>
      </c>
      <c r="G767" s="3">
        <v>43873</v>
      </c>
      <c r="H767" t="inlineStr">
        <is>
          <t>SR0611-000</t>
        </is>
      </c>
      <c r="N767" t="inlineStr">
        <is>
          <t>Lundbeck Canada Inc.</t>
        </is>
      </c>
      <c r="Q767" t="inlineStr">
        <is>
          <t>Initial</t>
        </is>
      </c>
    </row>
    <row r="768">
      <c r="A768" s="2">
        <f>HYPERLINK("https://www.cadth.ca/vortioxetine-4", "Trintellix")</f>
        <v>0</v>
      </c>
      <c r="B768" t="inlineStr">
        <is>
          <t>Vortioxetine</t>
        </is>
      </c>
      <c r="C768" t="inlineStr">
        <is>
          <t>Depression, Major Depressive Disorder (MDD)</t>
        </is>
      </c>
      <c r="E768" t="inlineStr">
        <is>
          <t>Withdrawn</t>
        </is>
      </c>
      <c r="F768" s="3">
        <v>41943</v>
      </c>
      <c r="H768" t="inlineStr">
        <is>
          <t>SR0402-000</t>
        </is>
      </c>
      <c r="N768" t="inlineStr">
        <is>
          <t>Lundbeck Canada Inc.</t>
        </is>
      </c>
      <c r="Q768" t="inlineStr">
        <is>
          <t>Initial</t>
        </is>
      </c>
    </row>
    <row r="769">
      <c r="A769" s="2">
        <f>HYPERLINK("https://www.cadth.ca/dolutegravir-abacavir-lamivudine-4", "Triumeq")</f>
        <v>0</v>
      </c>
      <c r="B769" t="inlineStr">
        <is>
          <t>Dolutegravir / abacavir / lamivudine</t>
        </is>
      </c>
      <c r="C769" t="inlineStr">
        <is>
          <t>HIV Infection</t>
        </is>
      </c>
      <c r="D769" t="inlineStr">
        <is>
          <t>List with criteria/condition</t>
        </is>
      </c>
      <c r="E769" t="inlineStr">
        <is>
          <t>Complete</t>
        </is>
      </c>
      <c r="F769" s="3">
        <v>41851</v>
      </c>
      <c r="G769" s="3">
        <v>42111</v>
      </c>
      <c r="H769" t="inlineStr">
        <is>
          <t>SR0387</t>
        </is>
      </c>
      <c r="N769" t="inlineStr">
        <is>
          <t>ViiV Healthcare</t>
        </is>
      </c>
      <c r="Q769" t="inlineStr">
        <is>
          <t>Pre-NOC</t>
        </is>
      </c>
    </row>
    <row r="770">
      <c r="A770" s="2">
        <f>HYPERLINK("https://www.cadth.ca/trospium-chloride-6", "Trosec")</f>
        <v>0</v>
      </c>
      <c r="B770" t="inlineStr">
        <is>
          <t>Trospium chloride</t>
        </is>
      </c>
      <c r="C770" t="inlineStr">
        <is>
          <t>Bladder, overactive</t>
        </is>
      </c>
      <c r="D770" t="inlineStr">
        <is>
          <t>List with clinical criteria and/or conditions</t>
        </is>
      </c>
      <c r="E770" t="inlineStr">
        <is>
          <t>Complete</t>
        </is>
      </c>
      <c r="F770" s="3">
        <v>38800</v>
      </c>
      <c r="G770" s="3">
        <v>38953</v>
      </c>
      <c r="H770" t="inlineStr">
        <is>
          <t>S0055</t>
        </is>
      </c>
      <c r="N770" t="inlineStr">
        <is>
          <t>Oryx Pharmaceuticals Inc.</t>
        </is>
      </c>
      <c r="Q770" t="inlineStr">
        <is>
          <t>Initial</t>
        </is>
      </c>
    </row>
    <row r="771">
      <c r="A771" s="2">
        <f>HYPERLINK("https://www.cadth.ca/dulaglutide", "Trulicity")</f>
        <v>0</v>
      </c>
      <c r="B771" t="inlineStr">
        <is>
          <t>Dulaglutide</t>
        </is>
      </c>
      <c r="C771" t="inlineStr">
        <is>
          <t>Diabetes mellitus, Type 2</t>
        </is>
      </c>
      <c r="D771" t="inlineStr">
        <is>
          <t>Reimburse with clinical criteria and/or conditions</t>
        </is>
      </c>
      <c r="E771" t="inlineStr">
        <is>
          <t>Complete</t>
        </is>
      </c>
      <c r="F771" s="3">
        <v>42360</v>
      </c>
      <c r="G771" s="3">
        <v>42537</v>
      </c>
      <c r="H771" t="inlineStr">
        <is>
          <t>SR0462-000</t>
        </is>
      </c>
      <c r="N771" t="inlineStr">
        <is>
          <t>Eli Lilly Canada Inc.</t>
        </is>
      </c>
      <c r="Q771" t="inlineStr">
        <is>
          <t>Initial</t>
        </is>
      </c>
    </row>
    <row r="772">
      <c r="A772" s="2">
        <f>HYPERLINK("https://www.cadth.ca/emtricitabinetenofovir-disoproxil-fumarate-12", "Truvada")</f>
        <v>0</v>
      </c>
      <c r="B772" t="inlineStr">
        <is>
          <t>Emtricitabine/tenofovir disoproxil fumarate</t>
        </is>
      </c>
      <c r="C772" t="inlineStr">
        <is>
          <t>HIV infection</t>
        </is>
      </c>
      <c r="D772" t="inlineStr">
        <is>
          <t>List with clinical criteria and/or conditions</t>
        </is>
      </c>
      <c r="E772" t="inlineStr">
        <is>
          <t>Complete</t>
        </is>
      </c>
      <c r="F772" s="3">
        <v>38866</v>
      </c>
      <c r="G772" s="3">
        <v>39015</v>
      </c>
      <c r="H772" t="inlineStr">
        <is>
          <t>S0063</t>
        </is>
      </c>
      <c r="N772" t="inlineStr">
        <is>
          <t>Gilead Sciences Canada Inc.</t>
        </is>
      </c>
      <c r="Q772" t="inlineStr">
        <is>
          <t>Initial</t>
        </is>
      </c>
    </row>
    <row r="773">
      <c r="A773" s="2">
        <f>HYPERLINK("https://www.cadth.ca/emtricitabinetenofovir-disoproxil-fumarate-13", "Truvada")</f>
        <v>0</v>
      </c>
      <c r="B773" t="inlineStr">
        <is>
          <t>Emtricitabine/tenofovir disoproxil fumarate</t>
        </is>
      </c>
      <c r="C773" t="inlineStr">
        <is>
          <t>HIV infection</t>
        </is>
      </c>
      <c r="D773" t="inlineStr">
        <is>
          <t>List with clinical criteria and/or conditions</t>
        </is>
      </c>
      <c r="E773" t="inlineStr">
        <is>
          <t>Complete</t>
        </is>
      </c>
      <c r="F773" s="3">
        <v>39636</v>
      </c>
      <c r="G773" s="3">
        <v>39799</v>
      </c>
      <c r="H773" t="inlineStr">
        <is>
          <t>S0138</t>
        </is>
      </c>
      <c r="N773" t="inlineStr">
        <is>
          <t>Gilead Sciences Canada Inc.</t>
        </is>
      </c>
      <c r="Q773" t="inlineStr">
        <is>
          <t>Request For Advice</t>
        </is>
      </c>
    </row>
    <row r="774">
      <c r="A774" s="2">
        <f>HYPERLINK("https://www.cadth.ca/emtricitabinetenofovir-disoproxil-fumarate-14", "Truvada")</f>
        <v>0</v>
      </c>
      <c r="B774" t="inlineStr">
        <is>
          <t>Emtricitabine/tenofovir disoproxil fumarate</t>
        </is>
      </c>
      <c r="C774" t="inlineStr">
        <is>
          <t>HIV-1 infection, pre-exposure prophylaxis</t>
        </is>
      </c>
      <c r="D774" t="inlineStr">
        <is>
          <t>Reimburse with clinical criteria and/or conditions</t>
        </is>
      </c>
      <c r="E774" t="inlineStr">
        <is>
          <t>Complete</t>
        </is>
      </c>
      <c r="F774" s="3">
        <v>42432</v>
      </c>
      <c r="G774" s="3">
        <v>42606</v>
      </c>
      <c r="H774" t="inlineStr">
        <is>
          <t>SR0479-000</t>
        </is>
      </c>
      <c r="N774" t="inlineStr">
        <is>
          <t>Gilead Sciences Canada Inc.</t>
        </is>
      </c>
      <c r="Q774" t="inlineStr">
        <is>
          <t>New Indication</t>
        </is>
      </c>
    </row>
    <row r="775">
      <c r="A775" s="2">
        <f>HYPERLINK("https://www.cadth.ca/telmisartan-amlodipine-12", "Twynsta")</f>
        <v>0</v>
      </c>
      <c r="B775" t="inlineStr">
        <is>
          <t>Telmisartan/ Amlodipine</t>
        </is>
      </c>
      <c r="C775" t="inlineStr">
        <is>
          <t>Hypertension, Essential</t>
        </is>
      </c>
      <c r="D775" t="inlineStr">
        <is>
          <t>List</t>
        </is>
      </c>
      <c r="E775" t="inlineStr">
        <is>
          <t>Complete</t>
        </is>
      </c>
      <c r="F775" s="3">
        <v>40778</v>
      </c>
      <c r="G775" s="3">
        <v>40893</v>
      </c>
      <c r="H775" t="inlineStr">
        <is>
          <t>S0245</t>
        </is>
      </c>
      <c r="N775" t="inlineStr">
        <is>
          <t>Boehringer Ingelheim Canada</t>
        </is>
      </c>
      <c r="Q775" t="inlineStr">
        <is>
          <t>Initial</t>
        </is>
      </c>
    </row>
    <row r="776">
      <c r="A776" s="2">
        <f>HYPERLINK("https://www.cadth.ca/telmisartan-amlodipine-10", "Twynsta")</f>
        <v>0</v>
      </c>
      <c r="B776" t="inlineStr">
        <is>
          <t>Telmisartan / Amlodipine</t>
        </is>
      </c>
      <c r="C776" t="inlineStr">
        <is>
          <t>Hypertension, Essential</t>
        </is>
      </c>
      <c r="E776" t="inlineStr">
        <is>
          <t>Cancelled</t>
        </is>
      </c>
      <c r="F776" s="3">
        <v>40368</v>
      </c>
      <c r="H776" t="inlineStr">
        <is>
          <t>S0207</t>
        </is>
      </c>
      <c r="N776" t="inlineStr">
        <is>
          <t>Boehringer Ingelheim (Canada) Ltd</t>
        </is>
      </c>
      <c r="Q776" t="inlineStr">
        <is>
          <t>Pre-NOC</t>
        </is>
      </c>
    </row>
    <row r="777">
      <c r="A777" s="2">
        <f>HYPERLINK("https://www.cadth.ca/natalizumab-14", "Tysabri")</f>
        <v>0</v>
      </c>
      <c r="B777" t="inlineStr">
        <is>
          <t>Natalizumab</t>
        </is>
      </c>
      <c r="C777" t="inlineStr">
        <is>
          <t>Multiple Sclerosis, relapsing-remitting</t>
        </is>
      </c>
      <c r="D777" t="inlineStr">
        <is>
          <t>List with clinical criteria and/or conditions</t>
        </is>
      </c>
      <c r="E777" t="inlineStr">
        <is>
          <t>Complete</t>
        </is>
      </c>
      <c r="F777" s="3">
        <v>39574</v>
      </c>
      <c r="G777" s="3">
        <v>39869</v>
      </c>
      <c r="H777" t="inlineStr">
        <is>
          <t>S0133</t>
        </is>
      </c>
      <c r="N777" t="inlineStr">
        <is>
          <t>Biogen Idec Canada Inc.</t>
        </is>
      </c>
      <c r="Q777" t="inlineStr">
        <is>
          <t>Resubmission</t>
        </is>
      </c>
    </row>
    <row r="778">
      <c r="A778" s="2">
        <f>HYPERLINK("https://www.cadth.ca/natalizumab-13", "Tysabri")</f>
        <v>0</v>
      </c>
      <c r="B778" t="inlineStr">
        <is>
          <t>Natalizumab</t>
        </is>
      </c>
      <c r="C778" t="inlineStr">
        <is>
          <t>Multiple Sclerosis, relapsing-remitting</t>
        </is>
      </c>
      <c r="D778" t="inlineStr">
        <is>
          <t>Do not list</t>
        </is>
      </c>
      <c r="E778" t="inlineStr">
        <is>
          <t>Complete</t>
        </is>
      </c>
      <c r="F778" s="3">
        <v>39016</v>
      </c>
      <c r="G778" s="3">
        <v>39198</v>
      </c>
      <c r="H778" t="inlineStr">
        <is>
          <t>S0082</t>
        </is>
      </c>
      <c r="N778" t="inlineStr">
        <is>
          <t>Biogen Idec Canada Inc.</t>
        </is>
      </c>
      <c r="Q778" t="inlineStr">
        <is>
          <t>Initial</t>
        </is>
      </c>
    </row>
    <row r="779">
      <c r="A779" s="2">
        <f>HYPERLINK("https://www.cadth.ca/febuxostat-6", "Uloric")</f>
        <v>0</v>
      </c>
      <c r="B779" t="inlineStr">
        <is>
          <t>Febuxostat</t>
        </is>
      </c>
      <c r="C779" t="inlineStr">
        <is>
          <t>Gout</t>
        </is>
      </c>
      <c r="D779" t="inlineStr">
        <is>
          <t>List with clinical criteria and/or conditions</t>
        </is>
      </c>
      <c r="E779" t="inlineStr">
        <is>
          <t>Complete</t>
        </is>
      </c>
      <c r="F779" s="3">
        <v>40478</v>
      </c>
      <c r="G779" s="3">
        <v>40658</v>
      </c>
      <c r="H779" t="inlineStr">
        <is>
          <t>S0213</t>
        </is>
      </c>
      <c r="N779" t="inlineStr">
        <is>
          <t>Takeda Canada Inc.</t>
        </is>
      </c>
      <c r="Q779" t="inlineStr">
        <is>
          <t>Initial</t>
        </is>
      </c>
    </row>
    <row r="780">
      <c r="A780" s="2">
        <f>HYPERLINK("https://www.cadth.ca/dinutuximab", "Unituxin")</f>
        <v>0</v>
      </c>
      <c r="B780" t="inlineStr">
        <is>
          <t>dinutuximab</t>
        </is>
      </c>
      <c r="C780" t="inlineStr">
        <is>
          <t>For the treatment of pediatric patients withrelapsed/refractory high-risk neuroblastoma in combination with irinotecan, temozolomide,and granulocyte macrophage colony-stimulating factor.</t>
        </is>
      </c>
      <c r="E780" t="inlineStr">
        <is>
          <t>Pending</t>
        </is>
      </c>
      <c r="H780" t="inlineStr">
        <is>
          <t>PC0222-000</t>
        </is>
      </c>
      <c r="N780" t="inlineStr">
        <is>
          <t>United Therapeutics Corp.</t>
        </is>
      </c>
      <c r="Q780" t="inlineStr">
        <is>
          <t>Initial</t>
        </is>
      </c>
    </row>
    <row r="781">
      <c r="A781" s="2">
        <f>HYPERLINK("https://www.cadth.ca/selexipag", "Uptravi")</f>
        <v>0</v>
      </c>
      <c r="B781" t="inlineStr">
        <is>
          <t>Selexipag</t>
        </is>
      </c>
      <c r="C781" t="inlineStr">
        <is>
          <t>Pulmonary arterial hypertension (WHO class II and III)</t>
        </is>
      </c>
      <c r="D781" t="inlineStr">
        <is>
          <t>Reimburse with clinical criteria and/or conditions</t>
        </is>
      </c>
      <c r="E781" t="inlineStr">
        <is>
          <t>Complete</t>
        </is>
      </c>
      <c r="F781" s="3">
        <v>42460</v>
      </c>
      <c r="G781" s="3">
        <v>42671</v>
      </c>
      <c r="H781" t="inlineStr">
        <is>
          <t>SR0482-000</t>
        </is>
      </c>
      <c r="N781" t="inlineStr">
        <is>
          <t>Actelion Pharmaceuticals Canada Inc.</t>
        </is>
      </c>
      <c r="Q781" t="inlineStr">
        <is>
          <t>Initial</t>
        </is>
      </c>
    </row>
    <row r="782">
      <c r="A782" s="2">
        <f>HYPERLINK("https://www.cadth.ca/histrelin-acetate-6", "Vantas")</f>
        <v>0</v>
      </c>
      <c r="B782" t="inlineStr">
        <is>
          <t>Histrelin acetate</t>
        </is>
      </c>
      <c r="C782" t="inlineStr">
        <is>
          <t>Cancer, prostate</t>
        </is>
      </c>
      <c r="D782" t="inlineStr">
        <is>
          <t>Do not list</t>
        </is>
      </c>
      <c r="E782" t="inlineStr">
        <is>
          <t>Complete</t>
        </is>
      </c>
      <c r="F782" s="3">
        <v>38980</v>
      </c>
      <c r="G782" s="3">
        <v>39198</v>
      </c>
      <c r="H782" t="inlineStr">
        <is>
          <t>S0078</t>
        </is>
      </c>
      <c r="N782" t="inlineStr">
        <is>
          <t>Paladin Labs Inc.</t>
        </is>
      </c>
      <c r="Q782" t="inlineStr">
        <is>
          <t>Initial</t>
        </is>
      </c>
    </row>
    <row r="783">
      <c r="A783" s="2">
        <f>HYPERLINK("https://www.cadth.ca/icosapent-ethyl", "Vascepa")</f>
        <v>0</v>
      </c>
      <c r="B783" t="inlineStr">
        <is>
          <t>icosapent ethyl</t>
        </is>
      </c>
      <c r="C783" t="inlineStr">
        <is>
          <t>Ischemic events in statin-treated patients</t>
        </is>
      </c>
      <c r="D783" t="inlineStr">
        <is>
          <t>Reimburse with clinical criteria and/or conditions</t>
        </is>
      </c>
      <c r="E783" t="inlineStr">
        <is>
          <t>Complete</t>
        </is>
      </c>
      <c r="F783" s="3">
        <v>43633</v>
      </c>
      <c r="G783" s="3">
        <v>44028</v>
      </c>
      <c r="H783" t="inlineStr">
        <is>
          <t>SR0619-000</t>
        </is>
      </c>
      <c r="N783" t="inlineStr">
        <is>
          <t>HLS Therapeutics</t>
        </is>
      </c>
      <c r="Q783" t="inlineStr">
        <is>
          <t>Initial</t>
        </is>
      </c>
    </row>
    <row r="784">
      <c r="A784" s="2">
        <f>HYPERLINK("https://www.cadth.ca/sucroferric-oxyhydroxide", "Velphoro")</f>
        <v>0</v>
      </c>
      <c r="B784" t="inlineStr">
        <is>
          <t>sucroferric oxyhydroxide</t>
        </is>
      </c>
      <c r="C784" t="inlineStr">
        <is>
          <t>Hyperphosphatemia, end-stage renal disease</t>
        </is>
      </c>
      <c r="D784" t="inlineStr">
        <is>
          <t>Reimburse with clinical criteria and/or conditions</t>
        </is>
      </c>
      <c r="E784" t="inlineStr">
        <is>
          <t>Complete</t>
        </is>
      </c>
      <c r="F784" s="3">
        <v>43263</v>
      </c>
      <c r="G784" s="3">
        <v>43467</v>
      </c>
      <c r="H784" t="inlineStr">
        <is>
          <t>SR0571-000</t>
        </is>
      </c>
      <c r="N784" t="inlineStr">
        <is>
          <t>Vifor Fresenius Medical Care Renal Pharma</t>
        </is>
      </c>
      <c r="Q784" t="inlineStr">
        <is>
          <t>Initial</t>
        </is>
      </c>
    </row>
    <row r="785">
      <c r="A785" s="2">
        <f>HYPERLINK("https://www.cadth.ca/patiromer", "Veltassa")</f>
        <v>0</v>
      </c>
      <c r="B785" t="inlineStr">
        <is>
          <t>patiromer</t>
        </is>
      </c>
      <c r="C785" t="inlineStr">
        <is>
          <t>For the treatment of hyperkalemia in adults with chronic
kidney disease (eGFR ≥15mL/min/1.73m).</t>
        </is>
      </c>
      <c r="E785" t="inlineStr">
        <is>
          <t>Received</t>
        </is>
      </c>
      <c r="F785" s="3">
        <v>44134</v>
      </c>
      <c r="H785" t="inlineStr">
        <is>
          <t>SR0665-000</t>
        </is>
      </c>
      <c r="N785" t="inlineStr">
        <is>
          <t>Otsuka Canada Pharmaceuticals Inc.</t>
        </is>
      </c>
      <c r="Q785" t="inlineStr">
        <is>
          <t>Initial</t>
        </is>
      </c>
    </row>
    <row r="786">
      <c r="A786" s="2">
        <f>HYPERLINK("https://www.cadth.ca/tenofovir-alafenamide", "Vemlidy")</f>
        <v>0</v>
      </c>
      <c r="B786" t="inlineStr">
        <is>
          <t>tenofovir alafenamide</t>
        </is>
      </c>
      <c r="C786" t="inlineStr">
        <is>
          <t>Hepatitis B, chronic</t>
        </is>
      </c>
      <c r="D786" t="inlineStr">
        <is>
          <t>Reimburse with clinical criteria and/or conditions</t>
        </is>
      </c>
      <c r="E786" t="inlineStr">
        <is>
          <t>Complete</t>
        </is>
      </c>
      <c r="F786" s="3">
        <v>43006</v>
      </c>
      <c r="G786" s="3">
        <v>43185</v>
      </c>
      <c r="H786" t="inlineStr">
        <is>
          <t>SR0537-000</t>
        </is>
      </c>
      <c r="N786" t="inlineStr">
        <is>
          <t>Gilead Sciences Canada, Inc.</t>
        </is>
      </c>
      <c r="Q786" t="inlineStr">
        <is>
          <t>Initial</t>
        </is>
      </c>
    </row>
    <row r="787">
      <c r="A787" s="2">
        <f>HYPERLINK("https://www.cadth.ca/cyclosporine-8", "Verkazia")</f>
        <v>0</v>
      </c>
      <c r="B787" t="inlineStr">
        <is>
          <t>cyclosporine</t>
        </is>
      </c>
      <c r="C787" t="inlineStr">
        <is>
          <t>Severe vernal keratoconjunctivitis, pediatric (≥4 years)</t>
        </is>
      </c>
      <c r="D787" t="inlineStr">
        <is>
          <t>Reimburse with clinical criteria and/or conditions</t>
        </is>
      </c>
      <c r="E787" t="inlineStr">
        <is>
          <t>Complete</t>
        </is>
      </c>
      <c r="F787" s="3">
        <v>43607</v>
      </c>
      <c r="G787" s="3">
        <v>43787</v>
      </c>
      <c r="H787" t="inlineStr">
        <is>
          <t>SR0615-000</t>
        </is>
      </c>
      <c r="N787" t="inlineStr">
        <is>
          <t>Santen Canada Inc.</t>
        </is>
      </c>
      <c r="Q787" t="inlineStr">
        <is>
          <t>Initial</t>
        </is>
      </c>
    </row>
    <row r="788">
      <c r="A788" s="2">
        <f>HYPERLINK("https://www.cadth.ca/solifenacin-succinate-14", "Vesicare")</f>
        <v>0</v>
      </c>
      <c r="B788" t="inlineStr">
        <is>
          <t>Solifenacin succinate</t>
        </is>
      </c>
      <c r="C788" t="inlineStr">
        <is>
          <t>Bladder, overactive</t>
        </is>
      </c>
      <c r="D788" t="inlineStr">
        <is>
          <t>List with clinical criteria and/or conditions</t>
        </is>
      </c>
      <c r="E788" t="inlineStr">
        <is>
          <t>Complete</t>
        </is>
      </c>
      <c r="F788" s="3">
        <v>39818</v>
      </c>
      <c r="G788" s="3">
        <v>39981</v>
      </c>
      <c r="H788" t="inlineStr">
        <is>
          <t>S0155</t>
        </is>
      </c>
      <c r="N788" t="inlineStr">
        <is>
          <t>Astellas Pharma Canada Inc.</t>
        </is>
      </c>
      <c r="Q788" t="inlineStr">
        <is>
          <t>Resubmission</t>
        </is>
      </c>
    </row>
    <row r="789">
      <c r="A789" s="2">
        <f>HYPERLINK("https://www.cadth.ca/solifenacin-succinate-13", "Vesicare")</f>
        <v>0</v>
      </c>
      <c r="B789" t="inlineStr">
        <is>
          <t>Solifenacin succinate</t>
        </is>
      </c>
      <c r="C789" t="inlineStr">
        <is>
          <t>Bladder, overactive</t>
        </is>
      </c>
      <c r="D789" t="inlineStr">
        <is>
          <t>Do not list</t>
        </is>
      </c>
      <c r="E789" t="inlineStr">
        <is>
          <t>Complete</t>
        </is>
      </c>
      <c r="F789" s="3">
        <v>38922</v>
      </c>
      <c r="G789" s="3">
        <v>39106</v>
      </c>
      <c r="H789" t="inlineStr">
        <is>
          <t>S0070</t>
        </is>
      </c>
      <c r="N789" t="inlineStr">
        <is>
          <t>Astellas Pharma Canada Inc.</t>
        </is>
      </c>
      <c r="Q789" t="inlineStr">
        <is>
          <t>Initial</t>
        </is>
      </c>
    </row>
    <row r="790">
      <c r="A790" s="2">
        <f>HYPERLINK("https://www.cadth.ca/solifenacin-succinate-tamsulosin-hydrochloride", "VesiFlow")</f>
        <v>0</v>
      </c>
      <c r="B790" t="inlineStr">
        <is>
          <t>Solifenacin succinate / tamsulosin hydrochloride</t>
        </is>
      </c>
      <c r="C790" t="inlineStr">
        <is>
          <t>Benign prostatic hyperplasia (BPH)-associated lower urinary tract symptoms</t>
        </is>
      </c>
      <c r="E790" t="inlineStr">
        <is>
          <t>Withdrawn</t>
        </is>
      </c>
      <c r="F790" s="3">
        <v>42100</v>
      </c>
      <c r="H790" t="inlineStr">
        <is>
          <t>SR0424-000</t>
        </is>
      </c>
      <c r="N790" t="inlineStr">
        <is>
          <t>Astellas Pharma Canada, Inc.</t>
        </is>
      </c>
      <c r="Q790" t="inlineStr">
        <is>
          <t>Pre-NOC</t>
        </is>
      </c>
    </row>
    <row r="791">
      <c r="A791" s="2">
        <f>HYPERLINK("https://www.cadth.ca/voriconazole-16", "VFEND")</f>
        <v>0</v>
      </c>
      <c r="B791" t="inlineStr">
        <is>
          <t>Voriconazole</t>
        </is>
      </c>
      <c r="C791" t="inlineStr">
        <is>
          <t>Aspergillosis, Invasive</t>
        </is>
      </c>
      <c r="D791" t="inlineStr">
        <is>
          <t>List with clinical criteria and/or conditions</t>
        </is>
      </c>
      <c r="E791" t="inlineStr">
        <is>
          <t>Complete</t>
        </is>
      </c>
      <c r="F791" s="3">
        <v>38285</v>
      </c>
      <c r="G791" s="3">
        <v>38456</v>
      </c>
      <c r="H791" t="inlineStr">
        <is>
          <t>S0023</t>
        </is>
      </c>
      <c r="N791" t="inlineStr">
        <is>
          <t>Pfizer Canada Inc.</t>
        </is>
      </c>
      <c r="Q791" t="inlineStr">
        <is>
          <t>Resubmission</t>
        </is>
      </c>
    </row>
    <row r="792">
      <c r="A792" s="2">
        <f>HYPERLINK("https://www.cadth.ca/voriconazole-18", "VFEND")</f>
        <v>0</v>
      </c>
      <c r="B792" t="inlineStr">
        <is>
          <t>Voriconazole</t>
        </is>
      </c>
      <c r="C792" t="inlineStr">
        <is>
          <t>Candidemia</t>
        </is>
      </c>
      <c r="D792" t="inlineStr">
        <is>
          <t>List with clinical criteria and/or conditions</t>
        </is>
      </c>
      <c r="E792" t="inlineStr">
        <is>
          <t>Complete</t>
        </is>
      </c>
      <c r="F792" s="3">
        <v>38800</v>
      </c>
      <c r="G792" s="3">
        <v>39015</v>
      </c>
      <c r="H792" t="inlineStr">
        <is>
          <t>S0056</t>
        </is>
      </c>
      <c r="N792" t="inlineStr">
        <is>
          <t>Pfizer Canada Inc.</t>
        </is>
      </c>
      <c r="Q792" t="inlineStr">
        <is>
          <t>Resubmission 2</t>
        </is>
      </c>
    </row>
    <row r="793">
      <c r="A793" s="2">
        <f>HYPERLINK("https://www.cadth.ca/voriconazole-15", "VFEND")</f>
        <v>0</v>
      </c>
      <c r="B793" t="inlineStr">
        <is>
          <t>Voriconazole</t>
        </is>
      </c>
      <c r="C793" t="inlineStr">
        <is>
          <t>Aspergillosis, Invasive</t>
        </is>
      </c>
      <c r="E793" t="inlineStr">
        <is>
          <t>Withdrawn</t>
        </is>
      </c>
      <c r="F793" s="3">
        <v>38223</v>
      </c>
      <c r="H793" t="inlineStr">
        <is>
          <t>S0020</t>
        </is>
      </c>
      <c r="N793" t="inlineStr">
        <is>
          <t>Pfizer Canada Inc.</t>
        </is>
      </c>
      <c r="Q793" t="inlineStr">
        <is>
          <t>Initial</t>
        </is>
      </c>
    </row>
    <row r="794">
      <c r="A794" s="2">
        <f>HYPERLINK("https://www.cadth.ca/perindopril-arginine-amlodipine", "Viacoram")</f>
        <v>0</v>
      </c>
      <c r="B794" t="inlineStr">
        <is>
          <t>perindopril arginine / amlodipine</t>
        </is>
      </c>
      <c r="C794" t="inlineStr">
        <is>
          <t>Hypertension, essential</t>
        </is>
      </c>
      <c r="D794" t="inlineStr">
        <is>
          <t>Reimburse with clinical criteria and/or conditions</t>
        </is>
      </c>
      <c r="E794" t="inlineStr">
        <is>
          <t>Complete</t>
        </is>
      </c>
      <c r="F794" s="3">
        <v>42492</v>
      </c>
      <c r="G794" s="3">
        <v>42669</v>
      </c>
      <c r="H794" t="inlineStr">
        <is>
          <t>SR0490-000</t>
        </is>
      </c>
      <c r="N794" t="inlineStr">
        <is>
          <t>Servier Canada Inc.</t>
        </is>
      </c>
      <c r="Q794" t="inlineStr">
        <is>
          <t>Initial</t>
        </is>
      </c>
    </row>
    <row r="795">
      <c r="A795" s="2">
        <f>HYPERLINK("https://www.cadth.ca/eluxadoline", "Viberzi")</f>
        <v>0</v>
      </c>
      <c r="B795" t="inlineStr">
        <is>
          <t>eluxadoline</t>
        </is>
      </c>
      <c r="C795" t="inlineStr">
        <is>
          <t>Irritable bowel syndrome with diarrhea</t>
        </is>
      </c>
      <c r="D795" t="inlineStr">
        <is>
          <t>Do not reimburse</t>
        </is>
      </c>
      <c r="E795" t="inlineStr">
        <is>
          <t>Complete</t>
        </is>
      </c>
      <c r="F795" s="3">
        <v>43154</v>
      </c>
      <c r="G795" s="3">
        <v>43336</v>
      </c>
      <c r="H795" t="inlineStr">
        <is>
          <t>SR0560-000</t>
        </is>
      </c>
      <c r="N795" t="inlineStr">
        <is>
          <t>Allergan Pharma Co.</t>
        </is>
      </c>
      <c r="Q795" t="inlineStr">
        <is>
          <t>Initial</t>
        </is>
      </c>
    </row>
    <row r="796">
      <c r="A796" s="2">
        <f>HYPERLINK("https://www.cadth.ca/liraglutide-6", "Victoza")</f>
        <v>0</v>
      </c>
      <c r="B796" t="inlineStr">
        <is>
          <t>Liraglutide</t>
        </is>
      </c>
      <c r="C796" t="inlineStr">
        <is>
          <t>Diabetes mellitus, Type 2</t>
        </is>
      </c>
      <c r="D796" t="inlineStr">
        <is>
          <t>Do not list</t>
        </is>
      </c>
      <c r="E796" t="inlineStr">
        <is>
          <t>Complete</t>
        </is>
      </c>
      <c r="F796" s="3">
        <v>40511</v>
      </c>
      <c r="G796" s="3">
        <v>40814</v>
      </c>
      <c r="H796" t="inlineStr">
        <is>
          <t>S0217</t>
        </is>
      </c>
      <c r="N796" t="inlineStr">
        <is>
          <t>Novo Nordisk Canada Inc.</t>
        </is>
      </c>
      <c r="Q796" t="inlineStr">
        <is>
          <t>Initial</t>
        </is>
      </c>
    </row>
    <row r="797">
      <c r="A797" s="2">
        <f>HYPERLINK("https://www.cadth.ca/liraglutide-8", "Victoza")</f>
        <v>0</v>
      </c>
      <c r="B797" t="inlineStr">
        <is>
          <t>Liraglutide</t>
        </is>
      </c>
      <c r="C797" t="inlineStr">
        <is>
          <t>Diabetes Mellitus, Type 2</t>
        </is>
      </c>
      <c r="E797" t="inlineStr">
        <is>
          <t>Withdrawn</t>
        </is>
      </c>
      <c r="F797" s="3">
        <v>42663</v>
      </c>
      <c r="H797" t="inlineStr">
        <is>
          <t>SR0505-000</t>
        </is>
      </c>
      <c r="N797" t="inlineStr">
        <is>
          <t>Novo Nordisk Canada Inc.</t>
        </is>
      </c>
      <c r="Q797" t="inlineStr">
        <is>
          <t>Resubmission</t>
        </is>
      </c>
    </row>
    <row r="798">
      <c r="A798" s="2">
        <f>HYPERLINK("https://www.cadth.ca/boceprevir-21", "Victrelis")</f>
        <v>0</v>
      </c>
      <c r="B798" t="inlineStr">
        <is>
          <t>Boceprevir</t>
        </is>
      </c>
      <c r="C798" t="inlineStr">
        <is>
          <t>Hepatitis C, chronic</t>
        </is>
      </c>
      <c r="D798" t="inlineStr">
        <is>
          <t>List with criteria/condition</t>
        </is>
      </c>
      <c r="E798" t="inlineStr">
        <is>
          <t>Complete</t>
        </is>
      </c>
      <c r="F798" s="3">
        <v>41264</v>
      </c>
      <c r="G798" s="3">
        <v>41438</v>
      </c>
      <c r="H798" t="inlineStr">
        <is>
          <t>SF0303</t>
        </is>
      </c>
      <c r="N798" t="inlineStr">
        <is>
          <t>Merck Canada Inc.</t>
        </is>
      </c>
      <c r="Q798" t="inlineStr">
        <is>
          <t>Request For Advice</t>
        </is>
      </c>
    </row>
    <row r="799">
      <c r="A799" s="2">
        <f>HYPERLINK("https://www.cadth.ca/boceprevir-22", "Victrelis")</f>
        <v>0</v>
      </c>
      <c r="B799" t="inlineStr">
        <is>
          <t>Boceprevir</t>
        </is>
      </c>
      <c r="C799" t="inlineStr">
        <is>
          <t>Hepatitis C infection, chronic</t>
        </is>
      </c>
      <c r="D799" t="inlineStr">
        <is>
          <t>List with criteria/condition</t>
        </is>
      </c>
      <c r="E799" t="inlineStr">
        <is>
          <t>Complete</t>
        </is>
      </c>
      <c r="F799" s="3">
        <v>41324</v>
      </c>
      <c r="G799" s="3">
        <v>41438</v>
      </c>
      <c r="H799" t="inlineStr">
        <is>
          <t>SF0312</t>
        </is>
      </c>
      <c r="N799" t="inlineStr">
        <is>
          <t>Merck Canada Inc.</t>
        </is>
      </c>
      <c r="Q799" t="inlineStr">
        <is>
          <t>Request For Advice</t>
        </is>
      </c>
    </row>
    <row r="800">
      <c r="A800" s="2">
        <f>HYPERLINK("https://www.cadth.ca/boceprevir-20", "Victrelis")</f>
        <v>0</v>
      </c>
      <c r="B800" t="inlineStr">
        <is>
          <t>Boceprevir</t>
        </is>
      </c>
      <c r="C800" t="inlineStr">
        <is>
          <t>Hepatitis C, chronic</t>
        </is>
      </c>
      <c r="D800" t="inlineStr">
        <is>
          <t>List with clinical criteria and/or conditions</t>
        </is>
      </c>
      <c r="E800" t="inlineStr">
        <is>
          <t>Complete</t>
        </is>
      </c>
      <c r="F800" s="3">
        <v>40666</v>
      </c>
      <c r="G800" s="3">
        <v>40840</v>
      </c>
      <c r="H800" t="inlineStr">
        <is>
          <t>S0231</t>
        </is>
      </c>
      <c r="N800" t="inlineStr">
        <is>
          <t>Merck Canada Inc.</t>
        </is>
      </c>
      <c r="Q800" t="inlineStr">
        <is>
          <t>Pre-NOC</t>
        </is>
      </c>
    </row>
    <row r="801">
      <c r="A801" s="2">
        <f>HYPERLINK("https://www.cadth.ca/vilazodone", "Viibryd")</f>
        <v>0</v>
      </c>
      <c r="B801" t="inlineStr">
        <is>
          <t>vilazodone</t>
        </is>
      </c>
      <c r="C801" t="inlineStr">
        <is>
          <t>Depression, Major depressive disorder</t>
        </is>
      </c>
      <c r="D801" t="inlineStr">
        <is>
          <t>CADTH is unable to recommend reimbursement as a submission was not filed by the manufacturer</t>
        </is>
      </c>
      <c r="E801" t="inlineStr">
        <is>
          <t>NotFiled</t>
        </is>
      </c>
      <c r="N801" t="inlineStr">
        <is>
          <t>Allergan Inc.</t>
        </is>
      </c>
      <c r="Q801" t="inlineStr">
        <is>
          <t>Non-submission</t>
        </is>
      </c>
    </row>
    <row r="802">
      <c r="A802" s="2">
        <f>HYPERLINK("https://www.cadth.ca/elosulfase-alfa-4", "Vimizim")</f>
        <v>0</v>
      </c>
      <c r="B802" t="inlineStr">
        <is>
          <t>Elosulfase alfa</t>
        </is>
      </c>
      <c r="C802" t="inlineStr">
        <is>
          <t>Mucopolysaccharidosis IVA (Morquio A syndrome)</t>
        </is>
      </c>
      <c r="D802" t="inlineStr">
        <is>
          <t>Do not list</t>
        </is>
      </c>
      <c r="E802" t="inlineStr">
        <is>
          <t>Complete</t>
        </is>
      </c>
      <c r="F802" s="3">
        <v>41856</v>
      </c>
      <c r="G802" s="3">
        <v>42088</v>
      </c>
      <c r="H802" t="inlineStr">
        <is>
          <t>SR0389</t>
        </is>
      </c>
      <c r="N802" t="inlineStr">
        <is>
          <t>BioMarin Pharmaceutical (Canada) Inc.</t>
        </is>
      </c>
      <c r="Q802" t="inlineStr">
        <is>
          <t>Initial</t>
        </is>
      </c>
    </row>
    <row r="803">
      <c r="A803" s="2">
        <f>HYPERLINK("https://www.cadth.ca/elosulfase-alfa-vimizim", "Vimizim")</f>
        <v>0</v>
      </c>
      <c r="B803" t="inlineStr">
        <is>
          <t>Elosulfase alfa</t>
        </is>
      </c>
      <c r="C803" t="inlineStr">
        <is>
          <t>Mucopolysaccharidosis IVA (Morquio A syndrome)</t>
        </is>
      </c>
      <c r="D803" t="inlineStr">
        <is>
          <t>Reimburse with clinical criteria and/or conditions</t>
        </is>
      </c>
      <c r="E803" t="inlineStr">
        <is>
          <t>Complete</t>
        </is>
      </c>
      <c r="F803" s="3">
        <v>42318</v>
      </c>
      <c r="G803" s="3">
        <v>42510</v>
      </c>
      <c r="H803" t="inlineStr">
        <is>
          <t>SR0456-000</t>
        </is>
      </c>
      <c r="N803" t="inlineStr">
        <is>
          <t>BioMarin Pharmaceutical (Canada) Inc.</t>
        </is>
      </c>
      <c r="Q803" t="inlineStr">
        <is>
          <t>Resubmission</t>
        </is>
      </c>
    </row>
    <row r="804">
      <c r="A804" s="2">
        <f>HYPERLINK("https://www.cadth.ca/lacosamide-6", "Vimpat")</f>
        <v>0</v>
      </c>
      <c r="B804" t="inlineStr">
        <is>
          <t>Lacosamide</t>
        </is>
      </c>
      <c r="C804" t="inlineStr">
        <is>
          <t>Epilepsy, partial onset seizures (POS)</t>
        </is>
      </c>
      <c r="D804" t="inlineStr">
        <is>
          <t>List with clinical criteria and/or conditions</t>
        </is>
      </c>
      <c r="E804" t="inlineStr">
        <is>
          <t>Complete</t>
        </is>
      </c>
      <c r="F804" s="3">
        <v>40476</v>
      </c>
      <c r="G804" s="3">
        <v>40658</v>
      </c>
      <c r="H804" t="inlineStr">
        <is>
          <t>S0212</t>
        </is>
      </c>
      <c r="N804" t="inlineStr">
        <is>
          <t>UCB Canada Inc.</t>
        </is>
      </c>
      <c r="Q804" t="inlineStr">
        <is>
          <t>Initial</t>
        </is>
      </c>
    </row>
    <row r="805">
      <c r="A805" s="2">
        <f>HYPERLINK("https://www.cadth.ca/tenofovir-disoproxil-fumarate-22", "Viread")</f>
        <v>0</v>
      </c>
      <c r="B805" t="inlineStr">
        <is>
          <t>Tenofovir disoproxil fumarate</t>
        </is>
      </c>
      <c r="C805" t="inlineStr">
        <is>
          <t>HIV infection</t>
        </is>
      </c>
      <c r="E805" t="inlineStr">
        <is>
          <t>Complete</t>
        </is>
      </c>
      <c r="F805" s="3">
        <v>39636</v>
      </c>
      <c r="H805" t="inlineStr">
        <is>
          <t>S0139</t>
        </is>
      </c>
      <c r="N805" t="inlineStr">
        <is>
          <t>Gilead Sciences Canada Inc.</t>
        </is>
      </c>
      <c r="Q805" t="inlineStr">
        <is>
          <t>Request For Advice</t>
        </is>
      </c>
    </row>
    <row r="806">
      <c r="A806" s="2">
        <f>HYPERLINK("https://www.cadth.ca/tenofovir-disoproxil-fumarate-24", "Viread")</f>
        <v>0</v>
      </c>
      <c r="B806" t="inlineStr">
        <is>
          <t>Tenofovir disoproxil fumarate</t>
        </is>
      </c>
      <c r="C806" t="inlineStr">
        <is>
          <t>Hepatitis B (chronic)</t>
        </is>
      </c>
      <c r="D806" t="inlineStr">
        <is>
          <t>List with clinical criteria and/or conditions</t>
        </is>
      </c>
      <c r="E806" t="inlineStr">
        <is>
          <t>Complete</t>
        </is>
      </c>
      <c r="F806" s="3">
        <v>39723</v>
      </c>
      <c r="G806" s="3">
        <v>39890</v>
      </c>
      <c r="H806" t="inlineStr">
        <is>
          <t>S0148</t>
        </is>
      </c>
      <c r="N806" t="inlineStr">
        <is>
          <t>Gilead Sciences Canada Inc.</t>
        </is>
      </c>
      <c r="Q806" t="inlineStr">
        <is>
          <t>New Indication</t>
        </is>
      </c>
    </row>
    <row r="807">
      <c r="A807" s="2">
        <f>HYPERLINK("https://www.cadth.ca/tenofovir-disoproxil-fumarate-20", "Viread")</f>
        <v>0</v>
      </c>
      <c r="B807" t="inlineStr">
        <is>
          <t>Tenofovir disoproxil fumarate</t>
        </is>
      </c>
      <c r="C807" t="inlineStr">
        <is>
          <t>HIV infection</t>
        </is>
      </c>
      <c r="D807" t="inlineStr">
        <is>
          <t>Do not list</t>
        </is>
      </c>
      <c r="E807" t="inlineStr">
        <is>
          <t>Complete</t>
        </is>
      </c>
      <c r="F807" s="3">
        <v>38040</v>
      </c>
      <c r="G807" s="3">
        <v>38224</v>
      </c>
      <c r="H807" t="inlineStr">
        <is>
          <t>S0008</t>
        </is>
      </c>
      <c r="N807" t="inlineStr">
        <is>
          <t>Gilead Sciences Canada Inc.</t>
        </is>
      </c>
      <c r="Q807" t="inlineStr">
        <is>
          <t>Initial</t>
        </is>
      </c>
    </row>
    <row r="808">
      <c r="A808" s="2">
        <f>HYPERLINK("https://www.cadth.ca/tenofovir-disoproxil-fumarate-21", "Viread")</f>
        <v>0</v>
      </c>
      <c r="B808" t="inlineStr">
        <is>
          <t>Tenofovir disoproxil fumarate</t>
        </is>
      </c>
      <c r="C808" t="inlineStr">
        <is>
          <t>HIV infection</t>
        </is>
      </c>
      <c r="D808" t="inlineStr">
        <is>
          <t>List with clinical criteria and/or conditions</t>
        </is>
      </c>
      <c r="E808" t="inlineStr">
        <is>
          <t>Complete</t>
        </is>
      </c>
      <c r="F808" s="3">
        <v>38575</v>
      </c>
      <c r="G808" s="3">
        <v>38791</v>
      </c>
      <c r="H808" t="inlineStr">
        <is>
          <t>S0040</t>
        </is>
      </c>
      <c r="N808" t="inlineStr">
        <is>
          <t>Gilead Sciences Canada Inc.</t>
        </is>
      </c>
      <c r="Q808" t="inlineStr">
        <is>
          <t>Resubmission</t>
        </is>
      </c>
    </row>
    <row r="809">
      <c r="A809" s="2">
        <f>HYPERLINK("https://www.cadth.ca/dienogest-6", "Visanne")</f>
        <v>0</v>
      </c>
      <c r="B809" t="inlineStr">
        <is>
          <t>Dienogest</t>
        </is>
      </c>
      <c r="C809" t="inlineStr">
        <is>
          <t>Pain (pelvic) associated with endometriosis</t>
        </is>
      </c>
      <c r="D809" t="inlineStr">
        <is>
          <t>List with clinical criteria and/or conditions</t>
        </is>
      </c>
      <c r="E809" t="inlineStr">
        <is>
          <t>Complete</t>
        </is>
      </c>
      <c r="F809" s="3">
        <v>40834</v>
      </c>
      <c r="G809" s="3">
        <v>41018</v>
      </c>
      <c r="H809" t="inlineStr">
        <is>
          <t>S0255</t>
        </is>
      </c>
      <c r="N809" t="inlineStr">
        <is>
          <t>Bayer Inc.</t>
        </is>
      </c>
      <c r="Q809" t="inlineStr">
        <is>
          <t>Initial</t>
        </is>
      </c>
    </row>
    <row r="810">
      <c r="A810" s="2">
        <f>HYPERLINK("https://www.cadth.ca/larotrectinib", "Vitrakvi")</f>
        <v>0</v>
      </c>
      <c r="B810" t="inlineStr">
        <is>
          <t>larotrectinib</t>
        </is>
      </c>
      <c r="C810" t="inlineStr">
        <is>
          <t>For the treatment of adult and pediatric patients with solid tumours that: have a neurotrophic tyrosine receptor kinase (NTRK) gene fusion without a known acquired resistance mutation; are metastatic or where surgical resection is likely to result in severe morbidity, and; have no satisfactory treatment options.</t>
        </is>
      </c>
      <c r="E810" t="inlineStr">
        <is>
          <t>Pending</t>
        </is>
      </c>
      <c r="H810" t="inlineStr">
        <is>
          <t>PC0221-000</t>
        </is>
      </c>
      <c r="N810" t="inlineStr">
        <is>
          <t>Bayer Inc.</t>
        </is>
      </c>
      <c r="Q810" t="inlineStr">
        <is>
          <t>Resubmission</t>
        </is>
      </c>
    </row>
    <row r="811">
      <c r="A811" s="2">
        <f>HYPERLINK("https://www.cadth.ca/ambrisentan-6", "Volibris")</f>
        <v>0</v>
      </c>
      <c r="B811" t="inlineStr">
        <is>
          <t>Ambrisentan</t>
        </is>
      </c>
      <c r="C811" t="inlineStr">
        <is>
          <t>Pulmonary arterial hypertension (WHO class II and III)</t>
        </is>
      </c>
      <c r="D811" t="inlineStr">
        <is>
          <t>List with clinical criteria and/or conditions</t>
        </is>
      </c>
      <c r="E811" t="inlineStr">
        <is>
          <t>Complete</t>
        </is>
      </c>
      <c r="F811" s="3">
        <v>39638</v>
      </c>
      <c r="G811" s="3">
        <v>39799</v>
      </c>
      <c r="H811" t="inlineStr">
        <is>
          <t>S0142</t>
        </is>
      </c>
      <c r="N811" t="inlineStr">
        <is>
          <t>GlaxoSmithKline Inc.</t>
        </is>
      </c>
      <c r="Q811" t="inlineStr">
        <is>
          <t>Initial</t>
        </is>
      </c>
    </row>
    <row r="812">
      <c r="A812" s="2">
        <f>HYPERLINK("https://www.cadth.ca/von-willebrand-factor-recombinant-0", "Vonvendi")</f>
        <v>0</v>
      </c>
      <c r="B812" t="inlineStr">
        <is>
          <t>von Willebrand Factor [recombinant]</t>
        </is>
      </c>
      <c r="C812" t="inlineStr">
        <is>
          <t>​Indicated for:  Treatment and Control of bleeding episodes in adults (age ≥18) diagnosed with von Willebrand Disease (VWD).Perioperative management of bleeding in adults (age ≥18) diagnosed with VWD</t>
        </is>
      </c>
      <c r="E812" t="inlineStr">
        <is>
          <t>Active</t>
        </is>
      </c>
      <c r="F812" s="3">
        <v>43950</v>
      </c>
      <c r="H812" t="inlineStr">
        <is>
          <t>ST0639-000</t>
        </is>
      </c>
      <c r="N812" t="inlineStr">
        <is>
          <t>Shire Pharma Canada ULC, now part of Takeda</t>
        </is>
      </c>
      <c r="Q812" t="inlineStr">
        <is>
          <t>Initial</t>
        </is>
      </c>
    </row>
    <row r="813">
      <c r="A813" s="2">
        <f>HYPERLINK("https://www.cadth.ca/sofosbuvir-velpatasvir-voxilaprevir", "Vosevi")</f>
        <v>0</v>
      </c>
      <c r="B813" t="inlineStr">
        <is>
          <t>sofosbuvir velpatasvir voxilaprevir</t>
        </is>
      </c>
      <c r="C813" t="inlineStr">
        <is>
          <t>Hepatitis C, chronic</t>
        </is>
      </c>
      <c r="D813" t="inlineStr">
        <is>
          <t>Reimburse with clinical criteria and/or conditions</t>
        </is>
      </c>
      <c r="E813" t="inlineStr">
        <is>
          <t>Complete</t>
        </is>
      </c>
      <c r="F813" s="3">
        <v>42944</v>
      </c>
      <c r="G813" s="3">
        <v>43123</v>
      </c>
      <c r="H813" t="inlineStr">
        <is>
          <t>SR0529-000</t>
        </is>
      </c>
      <c r="N813" t="inlineStr">
        <is>
          <t>Gilead Sciences Canada, Inc.</t>
        </is>
      </c>
      <c r="Q813" t="inlineStr">
        <is>
          <t>New Combination</t>
        </is>
      </c>
    </row>
    <row r="814">
      <c r="A814" s="2">
        <f>HYPERLINK("https://www.cadth.ca/velaglucerase-alfa-6", "VPRIV")</f>
        <v>0</v>
      </c>
      <c r="B814" t="inlineStr">
        <is>
          <t>Velaglucerase alfa</t>
        </is>
      </c>
      <c r="C814" t="inlineStr">
        <is>
          <t>Gaucher Disease</t>
        </is>
      </c>
      <c r="D814" t="inlineStr">
        <is>
          <t>List with clinical criteria and/or conditions</t>
        </is>
      </c>
      <c r="E814" t="inlineStr">
        <is>
          <t>Complete</t>
        </is>
      </c>
      <c r="F814" s="3">
        <v>40479</v>
      </c>
      <c r="G814" s="3">
        <v>40658</v>
      </c>
      <c r="H814" t="inlineStr">
        <is>
          <t>S0215</t>
        </is>
      </c>
      <c r="N814" t="inlineStr">
        <is>
          <t>Shire Human Genetic Therapies</t>
        </is>
      </c>
      <c r="Q814" t="inlineStr">
        <is>
          <t>Initial</t>
        </is>
      </c>
    </row>
    <row r="815">
      <c r="A815" s="2">
        <f>HYPERLINK("https://www.cadth.ca/tafamidis", "Vyndaqel")</f>
        <v>0</v>
      </c>
      <c r="B815" t="inlineStr">
        <is>
          <t>tafamidis</t>
        </is>
      </c>
      <c r="C815" t="inlineStr">
        <is>
          <t>transthyretin-mediated amyloidosis</t>
        </is>
      </c>
      <c r="D815" t="inlineStr">
        <is>
          <t>Reimburse with clinical criteria and/or conditions</t>
        </is>
      </c>
      <c r="E815" t="inlineStr">
        <is>
          <t>Complete</t>
        </is>
      </c>
      <c r="F815" s="3">
        <v>43650</v>
      </c>
      <c r="G815" s="3">
        <v>43880</v>
      </c>
      <c r="H815" t="inlineStr">
        <is>
          <t>SR0625-000</t>
        </is>
      </c>
      <c r="N815" t="inlineStr">
        <is>
          <t>Pfizer Canada</t>
        </is>
      </c>
      <c r="Q815" t="inlineStr">
        <is>
          <t>Initial</t>
        </is>
      </c>
    </row>
    <row r="816">
      <c r="A816" s="2">
        <f>HYPERLINK("https://www.cadth.ca/lisdexamfetamine-dimesylate-6", "Vyvanse")</f>
        <v>0</v>
      </c>
      <c r="B816" t="inlineStr">
        <is>
          <t>Lisdexamfetamine dimesylate</t>
        </is>
      </c>
      <c r="C816" t="inlineStr">
        <is>
          <t>Attention deficit hyperactivity disorder</t>
        </is>
      </c>
      <c r="D816" t="inlineStr">
        <is>
          <t>Do not list</t>
        </is>
      </c>
      <c r="E816" t="inlineStr">
        <is>
          <t>Complete</t>
        </is>
      </c>
      <c r="F816" s="3">
        <v>40004</v>
      </c>
      <c r="G816" s="3">
        <v>40165</v>
      </c>
      <c r="H816" t="inlineStr">
        <is>
          <t>S0171</t>
        </is>
      </c>
      <c r="N816" t="inlineStr">
        <is>
          <t>Shire Canada Inc.</t>
        </is>
      </c>
      <c r="Q816" t="inlineStr">
        <is>
          <t>Initial</t>
        </is>
      </c>
    </row>
    <row r="817">
      <c r="A817" s="2">
        <f>HYPERLINK("https://www.cadth.ca/latanoprostene-bunod", "Vyzulta")</f>
        <v>0</v>
      </c>
      <c r="B817" t="inlineStr">
        <is>
          <t>latanoprostene bunod</t>
        </is>
      </c>
      <c r="C817" t="inlineStr">
        <is>
          <t>Open-angle glaucoma or ocular hypertension</t>
        </is>
      </c>
      <c r="D817" t="inlineStr">
        <is>
          <t>Reimburse with clinical criteria and/or conditions</t>
        </is>
      </c>
      <c r="E817" t="inlineStr">
        <is>
          <t>Complete</t>
        </is>
      </c>
      <c r="F817" s="3">
        <v>43427</v>
      </c>
      <c r="G817" s="3">
        <v>43670</v>
      </c>
      <c r="H817" t="inlineStr">
        <is>
          <t>SR0590-000</t>
        </is>
      </c>
      <c r="N817" t="inlineStr">
        <is>
          <t>Bausch Health, Canada Inc.</t>
        </is>
      </c>
      <c r="Q817" t="inlineStr">
        <is>
          <t>Initial</t>
        </is>
      </c>
    </row>
    <row r="818">
      <c r="A818" s="2">
        <f>HYPERLINK("https://www.cadth.ca/rivaroxaban-40", "Xarelto")</f>
        <v>0</v>
      </c>
      <c r="B818" t="inlineStr">
        <is>
          <t>Rivaroxaban</t>
        </is>
      </c>
      <c r="C818" t="inlineStr">
        <is>
          <t>Thromboembolism (venous), prevention</t>
        </is>
      </c>
      <c r="D818" t="inlineStr">
        <is>
          <t>List with clinical criteria and/or conditions</t>
        </is>
      </c>
      <c r="E818" t="inlineStr">
        <is>
          <t>Complete</t>
        </is>
      </c>
      <c r="F818" s="3">
        <v>39575</v>
      </c>
      <c r="G818" s="3">
        <v>39799</v>
      </c>
      <c r="H818" t="inlineStr">
        <is>
          <t>S0134</t>
        </is>
      </c>
      <c r="N818" t="inlineStr">
        <is>
          <t>Bayer Inc.</t>
        </is>
      </c>
      <c r="Q818" t="inlineStr">
        <is>
          <t>Initial</t>
        </is>
      </c>
    </row>
    <row r="819">
      <c r="A819" s="2">
        <f>HYPERLINK("https://www.cadth.ca/rivaroxaban-46", "Xarelto")</f>
        <v>0</v>
      </c>
      <c r="B819" t="inlineStr">
        <is>
          <t>Rivaroxaban</t>
        </is>
      </c>
      <c r="C819" t="inlineStr">
        <is>
          <t>Thromboembolism (venous) prevention</t>
        </is>
      </c>
      <c r="E819" t="inlineStr">
        <is>
          <t>Complete</t>
        </is>
      </c>
      <c r="F819" s="3">
        <v>40718</v>
      </c>
      <c r="H819" t="inlineStr">
        <is>
          <t>S0239</t>
        </is>
      </c>
      <c r="N819" t="inlineStr">
        <is>
          <t>Bayer Inc.</t>
        </is>
      </c>
      <c r="Q819" t="inlineStr">
        <is>
          <t>Request For Advice</t>
        </is>
      </c>
    </row>
    <row r="820">
      <c r="A820" s="2">
        <f>HYPERLINK("https://www.cadth.ca/rivaroxaban-49", "Xarelto")</f>
        <v>0</v>
      </c>
      <c r="B820" t="inlineStr">
        <is>
          <t>Rivaroxaban</t>
        </is>
      </c>
      <c r="C820" t="inlineStr">
        <is>
          <t>Deep-Vein Thrombosis (treatment), without Symptomatic Pulmonary Embolism</t>
        </is>
      </c>
      <c r="E820" t="inlineStr">
        <is>
          <t>Complete</t>
        </is>
      </c>
      <c r="F820" s="3">
        <v>41192</v>
      </c>
      <c r="H820" t="inlineStr">
        <is>
          <t>SF0295</t>
        </is>
      </c>
      <c r="N820" t="inlineStr">
        <is>
          <t>Bayer Inc.</t>
        </is>
      </c>
      <c r="Q820" t="inlineStr">
        <is>
          <t>Request For Advice</t>
        </is>
      </c>
    </row>
    <row r="821">
      <c r="A821" s="2">
        <f>HYPERLINK("https://www.cadth.ca/rivaroxaban-52", "Xarelto")</f>
        <v>0</v>
      </c>
      <c r="B821" t="inlineStr">
        <is>
          <t>rivaroxaban</t>
        </is>
      </c>
      <c r="C821" t="inlineStr">
        <is>
          <t>Prevention of stroke and cardiovascular events in coronary and peripheral artery disease.</t>
        </is>
      </c>
      <c r="D821" t="inlineStr">
        <is>
          <t>Reimburse with clinical criteria and/or conditions</t>
        </is>
      </c>
      <c r="E821" t="inlineStr">
        <is>
          <t>Complete</t>
        </is>
      </c>
      <c r="F821" s="3">
        <v>43244</v>
      </c>
      <c r="G821" s="3">
        <v>43424</v>
      </c>
      <c r="H821" t="inlineStr">
        <is>
          <t>SR0569-000</t>
        </is>
      </c>
      <c r="N821" t="inlineStr">
        <is>
          <t>Bayer Inc.</t>
        </is>
      </c>
      <c r="Q821" t="inlineStr">
        <is>
          <t>New Indication</t>
        </is>
      </c>
    </row>
    <row r="822">
      <c r="A822" s="2">
        <f>HYPERLINK("https://www.cadth.ca/rivaroxaban-50", "Xarelto")</f>
        <v>0</v>
      </c>
      <c r="B822" t="inlineStr">
        <is>
          <t>Rivaroxaban</t>
        </is>
      </c>
      <c r="C822" t="inlineStr">
        <is>
          <t>stroke prevention in patients with atrial fibrillation.</t>
        </is>
      </c>
      <c r="D822" t="inlineStr">
        <is>
          <t>List with clinical criteria and/or conditions</t>
        </is>
      </c>
      <c r="E822" t="inlineStr">
        <is>
          <t>Complete</t>
        </is>
      </c>
      <c r="F822" s="3">
        <v>41351</v>
      </c>
      <c r="G822" s="3">
        <v>41473</v>
      </c>
      <c r="H822" t="inlineStr">
        <is>
          <t>SF0321-00</t>
        </is>
      </c>
      <c r="N822" t="inlineStr">
        <is>
          <t>Bayer Inc.</t>
        </is>
      </c>
      <c r="Q822" t="inlineStr">
        <is>
          <t>Request For Advice</t>
        </is>
      </c>
    </row>
    <row r="823">
      <c r="A823" s="2">
        <f>HYPERLINK("https://www.cadth.ca/rivaroxaban-51", "Xarelto")</f>
        <v>0</v>
      </c>
      <c r="B823" t="inlineStr">
        <is>
          <t>Rivaroxaban</t>
        </is>
      </c>
      <c r="C823" t="inlineStr">
        <is>
          <t>Thromboembolic events (venous), pulmonary embolism</t>
        </is>
      </c>
      <c r="D823" t="inlineStr">
        <is>
          <t>List with criteria/condition</t>
        </is>
      </c>
      <c r="E823" t="inlineStr">
        <is>
          <t>Complete</t>
        </is>
      </c>
      <c r="F823" s="3">
        <v>41400</v>
      </c>
      <c r="G823" s="3">
        <v>41724</v>
      </c>
      <c r="H823" t="inlineStr">
        <is>
          <t>SR0327</t>
        </is>
      </c>
      <c r="N823" t="inlineStr">
        <is>
          <t>Bayer Inc.</t>
        </is>
      </c>
      <c r="Q823" t="inlineStr">
        <is>
          <t>Initial</t>
        </is>
      </c>
    </row>
    <row r="824">
      <c r="A824" s="2">
        <f>HYPERLINK("https://www.cadth.ca/rivaroxaban-47", "Xarelto")</f>
        <v>0</v>
      </c>
      <c r="B824" t="inlineStr">
        <is>
          <t>Rivaroxaban</t>
        </is>
      </c>
      <c r="C824" t="inlineStr">
        <is>
          <t>Atrial fibrillation, stroke prevention</t>
        </is>
      </c>
      <c r="D824" t="inlineStr">
        <is>
          <t>List with clinical criteria and/or conditions</t>
        </is>
      </c>
      <c r="E824" t="inlineStr">
        <is>
          <t>Complete</t>
        </is>
      </c>
      <c r="F824" s="3">
        <v>40837</v>
      </c>
      <c r="G824" s="3">
        <v>41018</v>
      </c>
      <c r="H824" t="inlineStr">
        <is>
          <t>S0257</t>
        </is>
      </c>
      <c r="N824" t="inlineStr">
        <is>
          <t>Bayer Inc.</t>
        </is>
      </c>
      <c r="Q824" t="inlineStr">
        <is>
          <t>Pre-NOC</t>
        </is>
      </c>
    </row>
    <row r="825">
      <c r="A825" s="2">
        <f>HYPERLINK("https://www.cadth.ca/rivaroxaban-48", "Xarelto")</f>
        <v>0</v>
      </c>
      <c r="B825" t="inlineStr">
        <is>
          <t>Rivaroxaban</t>
        </is>
      </c>
      <c r="C825" t="inlineStr">
        <is>
          <t>Deep-Vein Thrombosis (treatment), without Symptomatic Pulmonary Embolism</t>
        </is>
      </c>
      <c r="D825" t="inlineStr">
        <is>
          <t>List with clinical criteria and/or conditions</t>
        </is>
      </c>
      <c r="E825" t="inlineStr">
        <is>
          <t>Complete</t>
        </is>
      </c>
      <c r="F825" s="3">
        <v>40966</v>
      </c>
      <c r="G825" s="3">
        <v>41137</v>
      </c>
      <c r="H825" t="inlineStr">
        <is>
          <t>SR0271</t>
        </is>
      </c>
      <c r="N825" t="inlineStr">
        <is>
          <t>Bayer Inc.</t>
        </is>
      </c>
      <c r="Q825" t="inlineStr">
        <is>
          <t>New Indication</t>
        </is>
      </c>
    </row>
    <row r="826">
      <c r="A826" s="2">
        <f>HYPERLINK("https://www.cadth.ca/tofacitinib-4", "Xeljanz")</f>
        <v>0</v>
      </c>
      <c r="B826" t="inlineStr">
        <is>
          <t>Tofacitinib</t>
        </is>
      </c>
      <c r="C826" t="inlineStr">
        <is>
          <t>Arthritis, Rheumatoid</t>
        </is>
      </c>
      <c r="D826" t="inlineStr">
        <is>
          <t>List with criteria/condition</t>
        </is>
      </c>
      <c r="E826" t="inlineStr">
        <is>
          <t>Complete</t>
        </is>
      </c>
      <c r="F826" s="3">
        <v>41764</v>
      </c>
      <c r="G826" s="3">
        <v>42111</v>
      </c>
      <c r="H826" t="inlineStr">
        <is>
          <t>SR0380-000</t>
        </is>
      </c>
      <c r="N826" t="inlineStr">
        <is>
          <t>Pfizer Canada Inc.</t>
        </is>
      </c>
      <c r="Q826" t="inlineStr">
        <is>
          <t>Initial</t>
        </is>
      </c>
    </row>
    <row r="827">
      <c r="A827" s="2">
        <f>HYPERLINK("https://www.cadth.ca/tofacitinib-5", "Xeljanz")</f>
        <v>0</v>
      </c>
      <c r="B827" t="inlineStr">
        <is>
          <t>tofacitinib</t>
        </is>
      </c>
      <c r="C827" t="inlineStr">
        <is>
          <t>Ulcerative colitis</t>
        </is>
      </c>
      <c r="D827" t="inlineStr">
        <is>
          <t>Reimburse with clinical criteria and/or conditions</t>
        </is>
      </c>
      <c r="E827" t="inlineStr">
        <is>
          <t>Complete</t>
        </is>
      </c>
      <c r="F827" s="3">
        <v>43278</v>
      </c>
      <c r="G827" s="3">
        <v>43523</v>
      </c>
      <c r="H827" t="inlineStr">
        <is>
          <t>SR0572-000</t>
        </is>
      </c>
      <c r="N827" t="inlineStr">
        <is>
          <t>Pfizer Canada Inc.</t>
        </is>
      </c>
      <c r="Q827" t="inlineStr">
        <is>
          <t>New Indication</t>
        </is>
      </c>
    </row>
    <row r="828">
      <c r="A828" s="2">
        <f>HYPERLINK("https://www.cadth.ca/tofacitinib-6", "Xeljanz")</f>
        <v>0</v>
      </c>
      <c r="B828" t="inlineStr">
        <is>
          <t>tofacitinib</t>
        </is>
      </c>
      <c r="C828" t="inlineStr">
        <is>
          <t>Arthritis, Psoriatic</t>
        </is>
      </c>
      <c r="E828" t="inlineStr">
        <is>
          <t>Cancelled</t>
        </is>
      </c>
      <c r="H828" t="inlineStr">
        <is>
          <t>SR0575-000</t>
        </is>
      </c>
      <c r="N828" t="inlineStr">
        <is>
          <t>Pfizer Canada Inc.</t>
        </is>
      </c>
      <c r="Q828" t="inlineStr">
        <is>
          <t>New Indication</t>
        </is>
      </c>
    </row>
    <row r="829">
      <c r="A829" s="2">
        <f>HYPERLINK("https://www.cadth.ca/clostridium-botulinum-neurotoxin-type-free-complexing-proteins-20", "Xeomin")</f>
        <v>0</v>
      </c>
      <c r="B829" t="inlineStr">
        <is>
          <t>Clostridium botulinum neurotoxin type A, free from complexing proteins</t>
        </is>
      </c>
      <c r="C829" t="inlineStr">
        <is>
          <t>Blepharospasm</t>
        </is>
      </c>
      <c r="D829" t="inlineStr">
        <is>
          <t>List in a similar manner</t>
        </is>
      </c>
      <c r="E829" t="inlineStr">
        <is>
          <t>Complete</t>
        </is>
      </c>
      <c r="F829" s="3">
        <v>39976</v>
      </c>
      <c r="G829" s="3">
        <v>40163</v>
      </c>
      <c r="H829" t="inlineStr">
        <is>
          <t>S0168</t>
        </is>
      </c>
      <c r="N829" t="inlineStr">
        <is>
          <t>Merz Pharmaceuticals GmbH</t>
        </is>
      </c>
      <c r="Q829" t="inlineStr">
        <is>
          <t>Initial</t>
        </is>
      </c>
    </row>
    <row r="830">
      <c r="A830" s="2">
        <f>HYPERLINK("https://www.cadth.ca/clostridium-botulinum-neurotoxin-type-free-complexing-proteins-21", "Xeomin")</f>
        <v>0</v>
      </c>
      <c r="B830" t="inlineStr">
        <is>
          <t>Clostridium botulinum neurotoxin type A, free from complexing proteins</t>
        </is>
      </c>
      <c r="C830" t="inlineStr">
        <is>
          <t>Cervical Dystonia</t>
        </is>
      </c>
      <c r="D830" t="inlineStr">
        <is>
          <t>List in a similar manner</t>
        </is>
      </c>
      <c r="E830" t="inlineStr">
        <is>
          <t>Complete</t>
        </is>
      </c>
      <c r="F830" s="3">
        <v>39976</v>
      </c>
      <c r="G830" s="3">
        <v>40163</v>
      </c>
      <c r="H830" t="inlineStr">
        <is>
          <t>S0192</t>
        </is>
      </c>
      <c r="N830" t="inlineStr">
        <is>
          <t>Merz Pharmaceuticals GmbH</t>
        </is>
      </c>
      <c r="Q830" t="inlineStr">
        <is>
          <t>Initial</t>
        </is>
      </c>
    </row>
    <row r="831">
      <c r="A831" s="2">
        <f>HYPERLINK("https://www.cadth.ca/clostridium-botulinum-neurotoxin-type-free-complexing-proteins-22", "Xeomin")</f>
        <v>0</v>
      </c>
      <c r="B831" t="inlineStr">
        <is>
          <t>Clostridium botulinum neurotoxin type A, free from complexing proteins</t>
        </is>
      </c>
      <c r="C831" t="inlineStr">
        <is>
          <t>Spasticity, Post-stroke</t>
        </is>
      </c>
      <c r="D831" t="inlineStr">
        <is>
          <t>Do not list</t>
        </is>
      </c>
      <c r="E831" t="inlineStr">
        <is>
          <t>Complete</t>
        </is>
      </c>
      <c r="F831" s="3">
        <v>39976</v>
      </c>
      <c r="G831" s="3">
        <v>40163</v>
      </c>
      <c r="H831" t="inlineStr">
        <is>
          <t>S0193</t>
        </is>
      </c>
      <c r="N831" t="inlineStr">
        <is>
          <t>Merz Pharmaceuticals GmbH</t>
        </is>
      </c>
      <c r="Q831" t="inlineStr">
        <is>
          <t>Initial</t>
        </is>
      </c>
    </row>
    <row r="832">
      <c r="A832" s="2">
        <f>HYPERLINK("https://www.cadth.ca/telotristat", "Xermelo")</f>
        <v>0</v>
      </c>
      <c r="B832" t="inlineStr">
        <is>
          <t>telotristat</t>
        </is>
      </c>
      <c r="C832" t="inlineStr">
        <is>
          <t>carcinoid syndrome</t>
        </is>
      </c>
      <c r="D832" t="inlineStr">
        <is>
          <t>Do not reimburse</t>
        </is>
      </c>
      <c r="E832" t="inlineStr">
        <is>
          <t>Complete</t>
        </is>
      </c>
      <c r="F832" s="3">
        <v>43370</v>
      </c>
      <c r="G832" s="3">
        <v>43642</v>
      </c>
      <c r="H832" t="inlineStr">
        <is>
          <t>SR0580-000</t>
        </is>
      </c>
      <c r="N832" t="inlineStr">
        <is>
          <t>Ipsen Biopharmaceuticals Canada Inc.</t>
        </is>
      </c>
      <c r="Q832" t="inlineStr">
        <is>
          <t>Initial</t>
        </is>
      </c>
    </row>
    <row r="833">
      <c r="A833" s="2">
        <f>HYPERLINK("https://www.cadth.ca/denosumab-drug-plan-submission-0", "Xgeva")</f>
        <v>0</v>
      </c>
      <c r="B833" t="inlineStr">
        <is>
          <t>Denosumab  (Drug Plan Submission)</t>
        </is>
      </c>
      <c r="C833" t="inlineStr">
        <is>
          <t>Prevention of skeletal-related events due to bone metastases from breast cancer</t>
        </is>
      </c>
      <c r="D833" t="inlineStr">
        <is>
          <t>List with clinical criteria and/or conditions</t>
        </is>
      </c>
      <c r="E833" t="inlineStr">
        <is>
          <t>Complete</t>
        </is>
      </c>
      <c r="F833" s="3">
        <v>42216</v>
      </c>
      <c r="G833" s="3">
        <v>42425</v>
      </c>
      <c r="H833" t="inlineStr">
        <is>
          <t>SR0433-000</t>
        </is>
      </c>
      <c r="N833" t="inlineStr">
        <is>
          <t>Amgen Canada Inc.</t>
        </is>
      </c>
      <c r="Q833" t="inlineStr">
        <is>
          <t>Drug Plan Initiated</t>
        </is>
      </c>
    </row>
    <row r="834">
      <c r="A834" s="2">
        <f>HYPERLINK("https://www.cadth.ca/denosumab-drug-plan-submission-1", "Xgeva")</f>
        <v>0</v>
      </c>
      <c r="B834" t="inlineStr">
        <is>
          <t>Denosumab (Drug Plan Submission)</t>
        </is>
      </c>
      <c r="C834" t="inlineStr">
        <is>
          <t>Prevention of skeletal-related events due to bone metastases from other solid tumors (excluding breast and prostate cancer), including non-small cell lung cancer</t>
        </is>
      </c>
      <c r="D834" t="inlineStr">
        <is>
          <t>List with clinical criteria and/or conditions</t>
        </is>
      </c>
      <c r="E834" t="inlineStr">
        <is>
          <t>Complete</t>
        </is>
      </c>
      <c r="F834" s="3">
        <v>42216</v>
      </c>
      <c r="G834" s="3">
        <v>42452</v>
      </c>
      <c r="H834" t="inlineStr">
        <is>
          <t>SR0433-001</t>
        </is>
      </c>
      <c r="N834" t="inlineStr">
        <is>
          <t>Amgen Canada Inc.</t>
        </is>
      </c>
      <c r="Q834" t="inlineStr">
        <is>
          <t>Drug Plan Initiated</t>
        </is>
      </c>
    </row>
    <row r="835">
      <c r="A835" s="2">
        <f>HYPERLINK("https://www.cadth.ca/denosumab-14", "XGEVA")</f>
        <v>0</v>
      </c>
      <c r="B835" t="inlineStr">
        <is>
          <t>Denosumab</t>
        </is>
      </c>
      <c r="C835" t="inlineStr">
        <is>
          <t>Prevention of skeletal-related events due to bone metastases from solid tumours</t>
        </is>
      </c>
      <c r="D835" t="inlineStr">
        <is>
          <t>List with clinical criteria and/or conditions</t>
        </is>
      </c>
      <c r="E835" t="inlineStr">
        <is>
          <t>Complete</t>
        </is>
      </c>
      <c r="F835" s="3">
        <v>40700</v>
      </c>
      <c r="G835" s="3">
        <v>40863</v>
      </c>
      <c r="H835" t="inlineStr">
        <is>
          <t>S0235</t>
        </is>
      </c>
      <c r="N835" t="inlineStr">
        <is>
          <t>Amgen Canada Inc.</t>
        </is>
      </c>
      <c r="Q835" t="inlineStr">
        <is>
          <t>New Indication</t>
        </is>
      </c>
    </row>
    <row r="836">
      <c r="A836" s="2">
        <f>HYPERLINK("https://www.cadth.ca/collagenase-clostridium-histolyticum-6", "Xiaflex")</f>
        <v>0</v>
      </c>
      <c r="B836" t="inlineStr">
        <is>
          <t>Collagenase clostridium histolyticum</t>
        </is>
      </c>
      <c r="C836" t="inlineStr">
        <is>
          <t>Dupuytren’s contracture with a palpable cord</t>
        </is>
      </c>
      <c r="D836" t="inlineStr">
        <is>
          <t>List with criteria/condition</t>
        </is>
      </c>
      <c r="E836" t="inlineStr">
        <is>
          <t>Complete</t>
        </is>
      </c>
      <c r="F836" s="3">
        <v>41151</v>
      </c>
      <c r="G836" s="3">
        <v>41360</v>
      </c>
      <c r="H836" t="inlineStr">
        <is>
          <t>SR0287</t>
        </is>
      </c>
      <c r="N836" t="inlineStr">
        <is>
          <t>Auxilium Pharmaceuticals, Inc. &amp; Actelion Pharmaceuticals Canada Inc.</t>
        </is>
      </c>
      <c r="Q836" t="inlineStr">
        <is>
          <t>Initial</t>
        </is>
      </c>
    </row>
    <row r="837">
      <c r="A837" s="2">
        <f>HYPERLINK("https://www.cadth.ca/dapagliflozinmetformin-hydrochloride", "XigDuo")</f>
        <v>0</v>
      </c>
      <c r="B837" t="inlineStr">
        <is>
          <t>dapagliflozin/metformin hydrochloride</t>
        </is>
      </c>
      <c r="C837" t="inlineStr">
        <is>
          <t>Diabetes Mellitus, Type 2</t>
        </is>
      </c>
      <c r="D837" t="inlineStr">
        <is>
          <t>Reimburse with clinical criteria and/or conditions</t>
        </is>
      </c>
      <c r="E837" t="inlineStr">
        <is>
          <t>Complete</t>
        </is>
      </c>
      <c r="F837" s="3">
        <v>42376</v>
      </c>
      <c r="G837" s="3">
        <v>42571</v>
      </c>
      <c r="H837" t="inlineStr">
        <is>
          <t>SR0468-000</t>
        </is>
      </c>
      <c r="N837" t="inlineStr">
        <is>
          <t>AstraZeneca Canada Inc.</t>
        </is>
      </c>
      <c r="Q837" t="inlineStr">
        <is>
          <t>Initial</t>
        </is>
      </c>
    </row>
    <row r="838">
      <c r="A838" s="2">
        <f>HYPERLINK("https://www.cadth.ca/tramadol-hydrochloride-22", "Zytram XL")</f>
        <v>0</v>
      </c>
      <c r="B838" t="inlineStr">
        <is>
          <t>Tramadol hydrochloride</t>
        </is>
      </c>
      <c r="C838" t="inlineStr">
        <is>
          <t>Pain, acute</t>
        </is>
      </c>
      <c r="E838" t="inlineStr">
        <is>
          <t>Withdrawn</t>
        </is>
      </c>
      <c r="F838" s="3">
        <v>39024</v>
      </c>
      <c r="H838" t="inlineStr">
        <is>
          <t>S0086</t>
        </is>
      </c>
      <c r="N838" t="inlineStr">
        <is>
          <t>Purdue Pharma</t>
        </is>
      </c>
      <c r="Q838" t="inlineStr">
        <is>
          <t>Initial</t>
        </is>
      </c>
    </row>
    <row r="839">
      <c r="A839" s="2">
        <f>HYPERLINK("https://www.cadth.ca/tramadol-hydrochloride-26", "Zytram XL")</f>
        <v>0</v>
      </c>
      <c r="B839" t="inlineStr">
        <is>
          <t>Tramadol hydrochloride</t>
        </is>
      </c>
      <c r="C839" t="inlineStr">
        <is>
          <t>Pain, acute</t>
        </is>
      </c>
      <c r="D839" t="inlineStr">
        <is>
          <t>Do not list</t>
        </is>
      </c>
      <c r="E839" t="inlineStr">
        <is>
          <t>Complete</t>
        </is>
      </c>
      <c r="F839" s="3">
        <v>39156</v>
      </c>
      <c r="G839" s="3">
        <v>39351</v>
      </c>
      <c r="H839" t="inlineStr">
        <is>
          <t>S0093</t>
        </is>
      </c>
      <c r="N839" t="inlineStr">
        <is>
          <t>Purdue Pharma</t>
        </is>
      </c>
      <c r="Q839" t="inlineStr">
        <is>
          <t>Resubmission</t>
        </is>
      </c>
    </row>
    <row r="840">
      <c r="A840" s="2">
        <f>HYPERLINK("https://www.cadth.ca/omalizumab-16", "Xolair")</f>
        <v>0</v>
      </c>
      <c r="B840" t="inlineStr">
        <is>
          <t>Omalizumab</t>
        </is>
      </c>
      <c r="C840" t="inlineStr">
        <is>
          <t>Urticaria, chronic idiopathic</t>
        </is>
      </c>
      <c r="D840" t="inlineStr">
        <is>
          <t>List with clinical criteria and/or conditions</t>
        </is>
      </c>
      <c r="E840" t="inlineStr">
        <is>
          <t>Complete</t>
        </is>
      </c>
      <c r="F840" s="3">
        <v>41904</v>
      </c>
      <c r="G840" s="3">
        <v>42131</v>
      </c>
      <c r="H840" t="inlineStr">
        <is>
          <t>SR0398-000</t>
        </is>
      </c>
      <c r="N840" t="inlineStr">
        <is>
          <t>Novartis Pharmaceuticals Canada Inc.</t>
        </is>
      </c>
      <c r="Q840" t="inlineStr">
        <is>
          <t>New Indication</t>
        </is>
      </c>
    </row>
    <row r="841">
      <c r="A841" s="2">
        <f>HYPERLINK("https://www.cadth.ca/omalizumab-14", "Xolair")</f>
        <v>0</v>
      </c>
      <c r="B841" t="inlineStr">
        <is>
          <t>Omalizumab</t>
        </is>
      </c>
      <c r="C841" t="inlineStr">
        <is>
          <t>Asthma, severe persistent</t>
        </is>
      </c>
      <c r="E841" t="inlineStr">
        <is>
          <t>Cancelled</t>
        </is>
      </c>
      <c r="F841" s="3">
        <v>38460</v>
      </c>
      <c r="H841" t="inlineStr">
        <is>
          <t>S0035</t>
        </is>
      </c>
      <c r="N841" t="inlineStr">
        <is>
          <t>Novartis Pharmaceuticals Canada Inc.</t>
        </is>
      </c>
      <c r="Q841" t="inlineStr">
        <is>
          <t>Initial</t>
        </is>
      </c>
    </row>
    <row r="842">
      <c r="A842" s="2">
        <f>HYPERLINK("https://www.cadth.ca/omalizumab-drug-plan-submission", "Xolair")</f>
        <v>0</v>
      </c>
      <c r="B842" t="inlineStr">
        <is>
          <t>Omalizumab (Drug Plan Submission)</t>
        </is>
      </c>
      <c r="C842" t="inlineStr">
        <is>
          <t>Asthma, severe persistent</t>
        </is>
      </c>
      <c r="D842" t="inlineStr">
        <is>
          <t>Reimburse with clinical criteria and/or conditions</t>
        </is>
      </c>
      <c r="E842" t="inlineStr">
        <is>
          <t>Complete</t>
        </is>
      </c>
      <c r="F842" s="3">
        <v>42326</v>
      </c>
      <c r="G842" s="3">
        <v>42508</v>
      </c>
      <c r="H842" t="inlineStr">
        <is>
          <t>SR0457-000</t>
        </is>
      </c>
      <c r="N842" t="inlineStr">
        <is>
          <t>Novartis Pharmaceuticals Canada Inc.</t>
        </is>
      </c>
      <c r="Q842" t="inlineStr">
        <is>
          <t>Drug Plan Initiated</t>
        </is>
      </c>
    </row>
    <row r="843">
      <c r="A843" s="2">
        <f>HYPERLINK("https://www.cadth.ca/omalizumab-15", "Xolair")</f>
        <v>0</v>
      </c>
      <c r="B843" t="inlineStr">
        <is>
          <t>Omalizumab</t>
        </is>
      </c>
      <c r="C843" t="inlineStr">
        <is>
          <t>Asthma, severe persistent</t>
        </is>
      </c>
      <c r="D843" t="inlineStr">
        <is>
          <t>Do not list</t>
        </is>
      </c>
      <c r="E843" t="inlineStr">
        <is>
          <t>Complete</t>
        </is>
      </c>
      <c r="F843" s="3">
        <v>38638</v>
      </c>
      <c r="G843" s="3">
        <v>38783</v>
      </c>
      <c r="H843" t="inlineStr">
        <is>
          <t>S0045</t>
        </is>
      </c>
      <c r="N843" t="inlineStr">
        <is>
          <t>Novartis Pharmaceuticals Canada Inc.</t>
        </is>
      </c>
      <c r="Q843" t="inlineStr">
        <is>
          <t>Resubmission</t>
        </is>
      </c>
    </row>
    <row r="844">
      <c r="A844" s="2">
        <f>HYPERLINK("https://www.cadth.ca/insulin-degludec-liraglutide", "Xultophy")</f>
        <v>0</v>
      </c>
      <c r="B844" t="inlineStr">
        <is>
          <t>insulin degludec + liraglutide</t>
        </is>
      </c>
      <c r="C844" t="inlineStr">
        <is>
          <t>Diabetes mellitus, Type 2</t>
        </is>
      </c>
      <c r="D844" t="inlineStr">
        <is>
          <t>Reimburse with clinical criteria and/or conditions</t>
        </is>
      </c>
      <c r="E844" t="inlineStr">
        <is>
          <t>Complete</t>
        </is>
      </c>
      <c r="F844" s="3">
        <v>43495</v>
      </c>
      <c r="G844" s="3">
        <v>43762</v>
      </c>
      <c r="H844" t="inlineStr">
        <is>
          <t>SR0599-000</t>
        </is>
      </c>
      <c r="N844" t="inlineStr">
        <is>
          <t>Novo Nordisk Canada Inc.</t>
        </is>
      </c>
      <c r="Q844" t="inlineStr">
        <is>
          <t>Initial</t>
        </is>
      </c>
    </row>
    <row r="845">
      <c r="A845" s="2">
        <f>HYPERLINK("https://www.cadth.ca/sodium-oxybate-12", "Xyrem")</f>
        <v>0</v>
      </c>
      <c r="B845" t="inlineStr">
        <is>
          <t>Sodium oxybate</t>
        </is>
      </c>
      <c r="C845" t="inlineStr">
        <is>
          <t>Narcolepsy</t>
        </is>
      </c>
      <c r="D845" t="inlineStr">
        <is>
          <t>Do not list</t>
        </is>
      </c>
      <c r="E845" t="inlineStr">
        <is>
          <t>Complete</t>
        </is>
      </c>
      <c r="F845" s="3">
        <v>39638</v>
      </c>
      <c r="G845" s="3">
        <v>39841</v>
      </c>
      <c r="H845" t="inlineStr">
        <is>
          <t>S0141</t>
        </is>
      </c>
      <c r="N845" t="inlineStr">
        <is>
          <t>Valeant Canada Ltd.</t>
        </is>
      </c>
      <c r="Q845" t="inlineStr">
        <is>
          <t>Resubmission</t>
        </is>
      </c>
    </row>
    <row r="846">
      <c r="A846" s="2">
        <f>HYPERLINK("https://www.cadth.ca/sodium-oxybate-10", "Xyrem")</f>
        <v>0</v>
      </c>
      <c r="B846" t="inlineStr">
        <is>
          <t>Sodium oxybate</t>
        </is>
      </c>
      <c r="C846" t="inlineStr">
        <is>
          <t>Narcolepsy</t>
        </is>
      </c>
      <c r="E846" t="inlineStr">
        <is>
          <t>Withdrawn</t>
        </is>
      </c>
      <c r="F846" s="3">
        <v>39323</v>
      </c>
      <c r="H846" t="inlineStr">
        <is>
          <t>S0107</t>
        </is>
      </c>
      <c r="N846" t="inlineStr">
        <is>
          <t>Valeant Canada Ltd.</t>
        </is>
      </c>
      <c r="Q846" t="inlineStr">
        <is>
          <t>Initial</t>
        </is>
      </c>
    </row>
    <row r="847">
      <c r="A847" s="2">
        <f>HYPERLINK("https://www.cadth.ca/drospirenone-ethinyl-estradiol-4", "Yasmin")</f>
        <v>0</v>
      </c>
      <c r="B847" t="inlineStr">
        <is>
          <t>Drospirenone /ethinyl estradiol</t>
        </is>
      </c>
      <c r="C847" t="inlineStr">
        <is>
          <t>Contraceptive, oral</t>
        </is>
      </c>
      <c r="D847" t="inlineStr">
        <is>
          <t>List</t>
        </is>
      </c>
      <c r="E847" t="inlineStr">
        <is>
          <t>Complete</t>
        </is>
      </c>
      <c r="F847" s="3">
        <v>38372</v>
      </c>
      <c r="G847" s="3">
        <v>38519</v>
      </c>
      <c r="H847" t="inlineStr">
        <is>
          <t>S0029</t>
        </is>
      </c>
      <c r="N847" t="inlineStr">
        <is>
          <t>Berlex Canada Inc.</t>
        </is>
      </c>
      <c r="Q847" t="inlineStr">
        <is>
          <t>Initial</t>
        </is>
      </c>
    </row>
    <row r="848">
      <c r="A848" s="2">
        <f>HYPERLINK("https://www.cadth.ca/miglustat-4", "Zavesca")</f>
        <v>0</v>
      </c>
      <c r="B848" t="inlineStr">
        <is>
          <t>Miglustat</t>
        </is>
      </c>
      <c r="C848" t="inlineStr">
        <is>
          <t>Gaucher disease</t>
        </is>
      </c>
      <c r="D848" t="inlineStr">
        <is>
          <t>Do not list</t>
        </is>
      </c>
      <c r="E848" t="inlineStr">
        <is>
          <t>Complete</t>
        </is>
      </c>
      <c r="F848" s="3">
        <v>38120</v>
      </c>
      <c r="G848" s="3">
        <v>38315</v>
      </c>
      <c r="H848" t="inlineStr">
        <is>
          <t>S0012</t>
        </is>
      </c>
      <c r="N848" t="inlineStr">
        <is>
          <t>Actelion Pharmaceuticals Canada Inc.</t>
        </is>
      </c>
      <c r="Q848" t="inlineStr">
        <is>
          <t>Initial</t>
        </is>
      </c>
    </row>
    <row r="849">
      <c r="A849" s="2">
        <f>HYPERLINK("https://www.cadth.ca/rifaximin-4", "Zaxine")</f>
        <v>0</v>
      </c>
      <c r="B849" t="inlineStr">
        <is>
          <t>Rifaximin</t>
        </is>
      </c>
      <c r="C849" t="inlineStr">
        <is>
          <t>Encephalopathy, Hepatic</t>
        </is>
      </c>
      <c r="D849" t="inlineStr">
        <is>
          <t>List with criteria/condition</t>
        </is>
      </c>
      <c r="E849" t="inlineStr">
        <is>
          <t>Complete</t>
        </is>
      </c>
      <c r="F849" s="3">
        <v>41856</v>
      </c>
      <c r="G849" s="3">
        <v>42110</v>
      </c>
      <c r="H849" t="inlineStr">
        <is>
          <t>SR0388</t>
        </is>
      </c>
      <c r="N849" t="inlineStr">
        <is>
          <t>Salix Pharmaceuticals Inc.</t>
        </is>
      </c>
      <c r="Q849" t="inlineStr">
        <is>
          <t>Initial</t>
        </is>
      </c>
    </row>
    <row r="850">
      <c r="A850" s="2">
        <f>HYPERLINK("https://www.cadth.ca/ziprasidone-hydrochloride-6", "Zeldox")</f>
        <v>0</v>
      </c>
      <c r="B850" t="inlineStr">
        <is>
          <t>Ziprasidone hydrochloride</t>
        </is>
      </c>
      <c r="C850" t="inlineStr">
        <is>
          <t>Schizophrenia and related psychotic disorders</t>
        </is>
      </c>
      <c r="D850" t="inlineStr">
        <is>
          <t>List with clinical criteria and/or conditions</t>
        </is>
      </c>
      <c r="E850" t="inlineStr">
        <is>
          <t>Complete</t>
        </is>
      </c>
      <c r="F850" s="3">
        <v>39457</v>
      </c>
      <c r="G850" s="3">
        <v>39674</v>
      </c>
      <c r="H850" t="inlineStr">
        <is>
          <t>S0124</t>
        </is>
      </c>
      <c r="N850" t="inlineStr">
        <is>
          <t>Pfizer Canada Inc.</t>
        </is>
      </c>
      <c r="Q850" t="inlineStr">
        <is>
          <t>Initial</t>
        </is>
      </c>
    </row>
    <row r="851">
      <c r="A851" s="2">
        <f>HYPERLINK("https://www.cadth.ca/mometasoneformoterol-6", "Zenhale")</f>
        <v>0</v>
      </c>
      <c r="B851" t="inlineStr">
        <is>
          <t>Mometasone/formoterol</t>
        </is>
      </c>
      <c r="C851" t="inlineStr">
        <is>
          <t>Asthma maintenance (adults, children 12 or older)</t>
        </is>
      </c>
      <c r="D851" t="inlineStr">
        <is>
          <t>List with clinical criteria and/or conditions</t>
        </is>
      </c>
      <c r="E851" t="inlineStr">
        <is>
          <t>Complete</t>
        </is>
      </c>
      <c r="F851" s="3">
        <v>41066</v>
      </c>
      <c r="G851" s="3">
        <v>41262</v>
      </c>
      <c r="H851" t="inlineStr">
        <is>
          <t>S0281</t>
        </is>
      </c>
      <c r="N851" t="inlineStr">
        <is>
          <t>Merck Canada Inc.</t>
        </is>
      </c>
      <c r="Q851" t="inlineStr">
        <is>
          <t>Request For Advice</t>
        </is>
      </c>
    </row>
    <row r="852">
      <c r="A852" s="2">
        <f>HYPERLINK("https://www.cadth.ca/elbasvirgrazoprevir", "Zepatier")</f>
        <v>0</v>
      </c>
      <c r="B852" t="inlineStr">
        <is>
          <t>Elbasvir/grazoprevir</t>
        </is>
      </c>
      <c r="C852" t="inlineStr">
        <is>
          <t>Hepatitis C, chronic</t>
        </is>
      </c>
      <c r="D852" t="inlineStr">
        <is>
          <t>Reimburse with clinical criteria and/or conditions</t>
        </is>
      </c>
      <c r="E852" t="inlineStr">
        <is>
          <t>Complete</t>
        </is>
      </c>
      <c r="F852" s="3">
        <v>42304</v>
      </c>
      <c r="G852" s="3">
        <v>42509</v>
      </c>
      <c r="H852" t="inlineStr">
        <is>
          <t>SR0454-000</t>
        </is>
      </c>
      <c r="N852" t="inlineStr">
        <is>
          <t>Merck Canada Inc.</t>
        </is>
      </c>
      <c r="Q852" t="inlineStr">
        <is>
          <t>Initial</t>
        </is>
      </c>
    </row>
    <row r="853">
      <c r="A853" s="2">
        <f>HYPERLINK("https://www.cadth.ca/ozanimod", "Zeposia")</f>
        <v>0</v>
      </c>
      <c r="B853" t="inlineStr">
        <is>
          <t>ozanimod</t>
        </is>
      </c>
      <c r="C853" t="inlineStr">
        <is>
          <t>For the treatment of patients with relapsing remitting multiple sclerosis (RRMS) to decrease the frequency of clinical exacerbations.</t>
        </is>
      </c>
      <c r="E853" t="inlineStr">
        <is>
          <t>Active</t>
        </is>
      </c>
      <c r="F853" s="3">
        <v>44068</v>
      </c>
      <c r="H853" t="inlineStr">
        <is>
          <t>SR0652-000</t>
        </is>
      </c>
      <c r="N853" t="inlineStr">
        <is>
          <t>Celgene Inc.</t>
        </is>
      </c>
      <c r="Q853" t="inlineStr">
        <is>
          <t>Initial</t>
        </is>
      </c>
    </row>
    <row r="854">
      <c r="A854" s="2">
        <f>HYPERLINK("https://www.cadth.ca/daclizumab-beta", "Zinbryta")</f>
        <v>0</v>
      </c>
      <c r="B854" t="inlineStr">
        <is>
          <t>Daclizumab beta</t>
        </is>
      </c>
      <c r="C854" t="inlineStr">
        <is>
          <t>Multiple Sclerosis, relapsing</t>
        </is>
      </c>
      <c r="D854" t="inlineStr">
        <is>
          <t>Reimburse with clinical criteria and/or conditions</t>
        </is>
      </c>
      <c r="E854" t="inlineStr">
        <is>
          <t>Complete</t>
        </is>
      </c>
      <c r="F854" s="3">
        <v>42724</v>
      </c>
      <c r="G854" s="3">
        <v>42906</v>
      </c>
      <c r="H854" t="inlineStr">
        <is>
          <t>SR0508-000</t>
        </is>
      </c>
      <c r="N854" t="inlineStr">
        <is>
          <t>Biogen Canada Inc.</t>
        </is>
      </c>
      <c r="Q854" t="inlineStr">
        <is>
          <t>Initial</t>
        </is>
      </c>
    </row>
    <row r="855">
      <c r="A855" s="2">
        <f>HYPERLINK("https://www.cadth.ca/onasemnogene-abeparvovec", "Zolgensma")</f>
        <v>0</v>
      </c>
      <c r="B855" t="inlineStr">
        <is>
          <t>onasemnogene abeparvovec</t>
        </is>
      </c>
      <c r="C855" t="inlineStr">
        <is>
          <t>​Zolgensma is an adeno-associated virus (AVV) vector-based gene therapy indicated for the treatment of pediatric patients less than 2 years of age with spinal muscular atrophy (SMA) with bi-allelic mutations in the survival motor neuron 1 (SMN1) gene.</t>
        </is>
      </c>
      <c r="E855" t="inlineStr">
        <is>
          <t>Active</t>
        </is>
      </c>
      <c r="F855" s="3">
        <v>44007</v>
      </c>
      <c r="H855" t="inlineStr">
        <is>
          <t>SG0649-000</t>
        </is>
      </c>
      <c r="N855" t="inlineStr">
        <is>
          <t>Novartis Pharmaceuticals Canada Inc.</t>
        </is>
      </c>
      <c r="Q855" t="inlineStr">
        <is>
          <t>Initial</t>
        </is>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pCPA</vt:lpstr>
      <vt:lpstr>CADTH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2020-11-08T18:14:33Z</dcterms:created>
  <dcterms:modified xsi:type="dcterms:W3CDTF">2020-11-08T18:14:33Z</dcterms:modified>
</cp:coreProperties>
</file>